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OSIT\Т А Р И Ф Н Ы Е\2021\Протокол № 8-21 от 00.06.2021\"/>
    </mc:Choice>
  </mc:AlternateContent>
  <bookViews>
    <workbookView xWindow="0" yWindow="0" windowWidth="19200" windowHeight="11490"/>
  </bookViews>
  <sheets>
    <sheet name="Лист1" sheetId="1" r:id="rId1"/>
  </sheets>
  <definedNames>
    <definedName name="_xlnm.Print_Titles" localSheetId="0">Лист1!$3:$4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7" i="1" l="1"/>
  <c r="I266" i="1"/>
  <c r="H266" i="1"/>
  <c r="F266" i="1"/>
  <c r="E266" i="1" s="1"/>
  <c r="K265" i="1"/>
  <c r="H265" i="1"/>
  <c r="K264" i="1"/>
  <c r="H264" i="1"/>
  <c r="K263" i="1"/>
  <c r="H263" i="1"/>
  <c r="I246" i="1"/>
  <c r="I244" i="1" s="1"/>
  <c r="F246" i="1"/>
  <c r="F244" i="1" s="1"/>
  <c r="E246" i="1"/>
  <c r="K245" i="1"/>
  <c r="H245" i="1"/>
  <c r="J244" i="1"/>
  <c r="G244" i="1"/>
  <c r="E244" i="1"/>
  <c r="I226" i="1"/>
  <c r="I224" i="1" s="1"/>
  <c r="F226" i="1"/>
  <c r="F224" i="1" s="1"/>
  <c r="E226" i="1"/>
  <c r="G225" i="1"/>
  <c r="G224" i="1" s="1"/>
  <c r="E225" i="1"/>
  <c r="K225" i="1" s="1"/>
  <c r="J224" i="1"/>
  <c r="K223" i="1"/>
  <c r="H223" i="1"/>
  <c r="K215" i="1"/>
  <c r="H215" i="1"/>
  <c r="F203" i="1"/>
  <c r="E203" i="1"/>
  <c r="K203" i="1" s="1"/>
  <c r="F202" i="1"/>
  <c r="E202" i="1"/>
  <c r="H202" i="1" s="1"/>
  <c r="J201" i="1"/>
  <c r="I201" i="1"/>
  <c r="G201" i="1"/>
  <c r="F193" i="1"/>
  <c r="E193" i="1"/>
  <c r="K193" i="1" s="1"/>
  <c r="F192" i="1"/>
  <c r="F191" i="1" s="1"/>
  <c r="E192" i="1"/>
  <c r="K192" i="1" s="1"/>
  <c r="K191" i="1" s="1"/>
  <c r="J191" i="1"/>
  <c r="I191" i="1"/>
  <c r="G191" i="1"/>
  <c r="E191" i="1"/>
  <c r="I185" i="1"/>
  <c r="I183" i="1" s="1"/>
  <c r="E185" i="1"/>
  <c r="E183" i="1" s="1"/>
  <c r="K184" i="1"/>
  <c r="H184" i="1"/>
  <c r="J183" i="1"/>
  <c r="G183" i="1"/>
  <c r="F183" i="1"/>
  <c r="I176" i="1"/>
  <c r="I174" i="1" s="1"/>
  <c r="E176" i="1"/>
  <c r="H176" i="1" s="1"/>
  <c r="F175" i="1"/>
  <c r="E175" i="1"/>
  <c r="K175" i="1" s="1"/>
  <c r="J174" i="1"/>
  <c r="G174" i="1"/>
  <c r="F174" i="1"/>
  <c r="E174" i="1"/>
  <c r="E168" i="1"/>
  <c r="E166" i="1" s="1"/>
  <c r="K167" i="1"/>
  <c r="H167" i="1"/>
  <c r="J166" i="1"/>
  <c r="I166" i="1"/>
  <c r="G166" i="1"/>
  <c r="F166" i="1"/>
  <c r="K162" i="1"/>
  <c r="H162" i="1"/>
  <c r="K161" i="1"/>
  <c r="H161" i="1"/>
  <c r="J160" i="1"/>
  <c r="I160" i="1"/>
  <c r="G160" i="1"/>
  <c r="F160" i="1"/>
  <c r="E160" i="1"/>
  <c r="K150" i="1"/>
  <c r="H150" i="1"/>
  <c r="K149" i="1"/>
  <c r="H149" i="1"/>
  <c r="J148" i="1"/>
  <c r="I148" i="1"/>
  <c r="G148" i="1"/>
  <c r="F148" i="1"/>
  <c r="E148" i="1"/>
  <c r="F137" i="1"/>
  <c r="E137" i="1"/>
  <c r="H137" i="1" s="1"/>
  <c r="K136" i="1"/>
  <c r="F136" i="1"/>
  <c r="F135" i="1" s="1"/>
  <c r="E136" i="1"/>
  <c r="J135" i="1"/>
  <c r="I135" i="1"/>
  <c r="G135" i="1"/>
  <c r="K133" i="1"/>
  <c r="H133" i="1"/>
  <c r="F132" i="1"/>
  <c r="F131" i="1" s="1"/>
  <c r="E132" i="1"/>
  <c r="K132" i="1" s="1"/>
  <c r="J131" i="1"/>
  <c r="I131" i="1"/>
  <c r="G131" i="1"/>
  <c r="K129" i="1"/>
  <c r="K127" i="1" s="1"/>
  <c r="H129" i="1"/>
  <c r="H127" i="1" s="1"/>
  <c r="K128" i="1"/>
  <c r="H128" i="1"/>
  <c r="J127" i="1"/>
  <c r="I127" i="1"/>
  <c r="G127" i="1"/>
  <c r="F127" i="1"/>
  <c r="E127" i="1"/>
  <c r="K126" i="1"/>
  <c r="H126" i="1"/>
  <c r="H124" i="1" s="1"/>
  <c r="K125" i="1"/>
  <c r="H125" i="1"/>
  <c r="J124" i="1"/>
  <c r="I124" i="1"/>
  <c r="G124" i="1"/>
  <c r="F124" i="1"/>
  <c r="E124" i="1"/>
  <c r="K123" i="1"/>
  <c r="H123" i="1"/>
  <c r="F118" i="1"/>
  <c r="H118" i="1" s="1"/>
  <c r="E118" i="1"/>
  <c r="K118" i="1" s="1"/>
  <c r="F117" i="1"/>
  <c r="F116" i="1" s="1"/>
  <c r="E117" i="1"/>
  <c r="E116" i="1" s="1"/>
  <c r="J116" i="1"/>
  <c r="I116" i="1"/>
  <c r="G116" i="1"/>
  <c r="K114" i="1"/>
  <c r="H114" i="1"/>
  <c r="K113" i="1"/>
  <c r="K112" i="1" s="1"/>
  <c r="H113" i="1"/>
  <c r="J112" i="1"/>
  <c r="I112" i="1"/>
  <c r="G112" i="1"/>
  <c r="F112" i="1"/>
  <c r="E112" i="1"/>
  <c r="F103" i="1"/>
  <c r="E103" i="1"/>
  <c r="K103" i="1" s="1"/>
  <c r="G102" i="1"/>
  <c r="G101" i="1" s="1"/>
  <c r="E102" i="1"/>
  <c r="K102" i="1" s="1"/>
  <c r="J101" i="1"/>
  <c r="I101" i="1"/>
  <c r="K99" i="1"/>
  <c r="H99" i="1"/>
  <c r="F98" i="1"/>
  <c r="F97" i="1" s="1"/>
  <c r="E98" i="1"/>
  <c r="E97" i="1" s="1"/>
  <c r="J97" i="1"/>
  <c r="I97" i="1"/>
  <c r="G97" i="1"/>
  <c r="K94" i="1"/>
  <c r="H94" i="1"/>
  <c r="K93" i="1"/>
  <c r="H93" i="1"/>
  <c r="F92" i="1"/>
  <c r="E92" i="1"/>
  <c r="K92" i="1" s="1"/>
  <c r="J91" i="1"/>
  <c r="I91" i="1"/>
  <c r="G91" i="1"/>
  <c r="E91" i="1"/>
  <c r="I88" i="1"/>
  <c r="F88" i="1"/>
  <c r="F86" i="1" s="1"/>
  <c r="E88" i="1"/>
  <c r="K88" i="1" s="1"/>
  <c r="K87" i="1"/>
  <c r="H87" i="1"/>
  <c r="J86" i="1"/>
  <c r="I86" i="1"/>
  <c r="G86" i="1"/>
  <c r="E86" i="1"/>
  <c r="K84" i="1"/>
  <c r="H84" i="1"/>
  <c r="F83" i="1"/>
  <c r="F82" i="1" s="1"/>
  <c r="E83" i="1"/>
  <c r="K83" i="1" s="1"/>
  <c r="J82" i="1"/>
  <c r="I82" i="1"/>
  <c r="G82" i="1"/>
  <c r="K79" i="1"/>
  <c r="H79" i="1"/>
  <c r="F78" i="1"/>
  <c r="F77" i="1" s="1"/>
  <c r="E78" i="1"/>
  <c r="J77" i="1"/>
  <c r="I77" i="1"/>
  <c r="G77" i="1"/>
  <c r="E77" i="1"/>
  <c r="K72" i="1"/>
  <c r="H72" i="1"/>
  <c r="K71" i="1"/>
  <c r="H71" i="1"/>
  <c r="F70" i="1"/>
  <c r="F69" i="1" s="1"/>
  <c r="E70" i="1"/>
  <c r="K70" i="1" s="1"/>
  <c r="J69" i="1"/>
  <c r="I69" i="1"/>
  <c r="G69" i="1"/>
  <c r="K68" i="1"/>
  <c r="H68" i="1"/>
  <c r="K67" i="1"/>
  <c r="H67" i="1"/>
  <c r="K66" i="1"/>
  <c r="H66" i="1"/>
  <c r="K65" i="1"/>
  <c r="F65" i="1"/>
  <c r="E65" i="1"/>
  <c r="F64" i="1"/>
  <c r="E64" i="1"/>
  <c r="H64" i="1" s="1"/>
  <c r="F63" i="1"/>
  <c r="E63" i="1"/>
  <c r="F62" i="1"/>
  <c r="E62" i="1"/>
  <c r="K62" i="1" s="1"/>
  <c r="F61" i="1"/>
  <c r="E61" i="1"/>
  <c r="K61" i="1" s="1"/>
  <c r="F60" i="1"/>
  <c r="E60" i="1"/>
  <c r="H60" i="1" s="1"/>
  <c r="K59" i="1"/>
  <c r="H59" i="1"/>
  <c r="K58" i="1"/>
  <c r="H58" i="1"/>
  <c r="F57" i="1"/>
  <c r="E57" i="1"/>
  <c r="K56" i="1"/>
  <c r="H56" i="1"/>
  <c r="K55" i="1"/>
  <c r="H55" i="1"/>
  <c r="K52" i="1"/>
  <c r="H52" i="1"/>
  <c r="G51" i="1"/>
  <c r="E51" i="1"/>
  <c r="H51" i="1" s="1"/>
  <c r="K50" i="1"/>
  <c r="H50" i="1"/>
  <c r="E49" i="1"/>
  <c r="K49" i="1" s="1"/>
  <c r="K48" i="1"/>
  <c r="H48" i="1"/>
  <c r="F47" i="1"/>
  <c r="E47" i="1"/>
  <c r="K47" i="1" s="1"/>
  <c r="K46" i="1"/>
  <c r="H46" i="1"/>
  <c r="F45" i="1"/>
  <c r="E45" i="1"/>
  <c r="K45" i="1" s="1"/>
  <c r="K44" i="1"/>
  <c r="H44" i="1"/>
  <c r="E43" i="1"/>
  <c r="K43" i="1" s="1"/>
  <c r="K42" i="1"/>
  <c r="H42" i="1"/>
  <c r="E41" i="1"/>
  <c r="H41" i="1" s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E31" i="1"/>
  <c r="K31" i="1" s="1"/>
  <c r="K30" i="1"/>
  <c r="H30" i="1"/>
  <c r="K29" i="1"/>
  <c r="H29" i="1"/>
  <c r="F28" i="1"/>
  <c r="E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F19" i="1"/>
  <c r="H19" i="1" s="1"/>
  <c r="E18" i="1"/>
  <c r="K18" i="1" s="1"/>
  <c r="K17" i="1"/>
  <c r="H17" i="1"/>
  <c r="E16" i="1"/>
  <c r="H16" i="1" s="1"/>
  <c r="E15" i="1"/>
  <c r="K15" i="1" s="1"/>
  <c r="K14" i="1"/>
  <c r="H14" i="1"/>
  <c r="F13" i="1"/>
  <c r="E13" i="1"/>
  <c r="E12" i="1"/>
  <c r="H12" i="1" s="1"/>
  <c r="K11" i="1"/>
  <c r="H11" i="1"/>
  <c r="K10" i="1"/>
  <c r="H10" i="1"/>
  <c r="K9" i="1"/>
  <c r="H9" i="1"/>
  <c r="K8" i="1"/>
  <c r="H8" i="1"/>
  <c r="K7" i="1"/>
  <c r="H7" i="1"/>
  <c r="K6" i="1"/>
  <c r="H6" i="1"/>
  <c r="H13" i="1" l="1"/>
  <c r="H78" i="1"/>
  <c r="H77" i="1" s="1"/>
  <c r="K82" i="1"/>
  <c r="H103" i="1"/>
  <c r="K131" i="1"/>
  <c r="E135" i="1"/>
  <c r="K148" i="1"/>
  <c r="H185" i="1"/>
  <c r="H183" i="1" s="1"/>
  <c r="F201" i="1"/>
  <c r="K101" i="1"/>
  <c r="K137" i="1"/>
  <c r="H148" i="1"/>
  <c r="K160" i="1"/>
  <c r="H175" i="1"/>
  <c r="H174" i="1" s="1"/>
  <c r="K246" i="1"/>
  <c r="K13" i="1"/>
  <c r="H15" i="1"/>
  <c r="H62" i="1"/>
  <c r="K69" i="1"/>
  <c r="K78" i="1"/>
  <c r="K77" i="1" s="1"/>
  <c r="E101" i="1"/>
  <c r="K135" i="1"/>
  <c r="G267" i="1"/>
  <c r="K91" i="1"/>
  <c r="K12" i="1"/>
  <c r="H28" i="1"/>
  <c r="H31" i="1"/>
  <c r="K41" i="1"/>
  <c r="H43" i="1"/>
  <c r="H57" i="1"/>
  <c r="H63" i="1"/>
  <c r="J267" i="1"/>
  <c r="K86" i="1"/>
  <c r="H92" i="1"/>
  <c r="H91" i="1" s="1"/>
  <c r="H98" i="1"/>
  <c r="H97" i="1" s="1"/>
  <c r="H112" i="1"/>
  <c r="H117" i="1"/>
  <c r="H160" i="1"/>
  <c r="H192" i="1"/>
  <c r="H193" i="1"/>
  <c r="H246" i="1"/>
  <c r="H244" i="1" s="1"/>
  <c r="K266" i="1"/>
  <c r="K16" i="1"/>
  <c r="H18" i="1"/>
  <c r="H47" i="1"/>
  <c r="K51" i="1"/>
  <c r="K60" i="1"/>
  <c r="K64" i="1"/>
  <c r="K117" i="1"/>
  <c r="K116" i="1" s="1"/>
  <c r="K124" i="1"/>
  <c r="H136" i="1"/>
  <c r="H135" i="1" s="1"/>
  <c r="K185" i="1"/>
  <c r="K183" i="1" s="1"/>
  <c r="K202" i="1"/>
  <c r="K201" i="1" s="1"/>
  <c r="K226" i="1"/>
  <c r="K224" i="1" s="1"/>
  <c r="K28" i="1"/>
  <c r="K57" i="1"/>
  <c r="H61" i="1"/>
  <c r="K63" i="1"/>
  <c r="H65" i="1"/>
  <c r="H203" i="1"/>
  <c r="I267" i="1"/>
  <c r="H201" i="1"/>
  <c r="H116" i="1"/>
  <c r="K244" i="1"/>
  <c r="H49" i="1"/>
  <c r="E69" i="1"/>
  <c r="E82" i="1"/>
  <c r="H88" i="1"/>
  <c r="H86" i="1" s="1"/>
  <c r="F91" i="1"/>
  <c r="K98" i="1"/>
  <c r="K97" i="1" s="1"/>
  <c r="F101" i="1"/>
  <c r="H102" i="1"/>
  <c r="E131" i="1"/>
  <c r="H168" i="1"/>
  <c r="H166" i="1" s="1"/>
  <c r="K176" i="1"/>
  <c r="K174" i="1" s="1"/>
  <c r="E224" i="1"/>
  <c r="H45" i="1"/>
  <c r="H70" i="1"/>
  <c r="H69" i="1" s="1"/>
  <c r="H83" i="1"/>
  <c r="H82" i="1" s="1"/>
  <c r="H132" i="1"/>
  <c r="H131" i="1" s="1"/>
  <c r="K168" i="1"/>
  <c r="K166" i="1" s="1"/>
  <c r="E201" i="1"/>
  <c r="H225" i="1"/>
  <c r="H224" i="1" s="1"/>
  <c r="H226" i="1"/>
  <c r="H101" i="1" l="1"/>
  <c r="H191" i="1"/>
  <c r="E267" i="1"/>
  <c r="F267" i="1"/>
  <c r="H267" i="1"/>
  <c r="K267" i="1"/>
</calcChain>
</file>

<file path=xl/sharedStrings.xml><?xml version="1.0" encoding="utf-8"?>
<sst xmlns="http://schemas.openxmlformats.org/spreadsheetml/2006/main" count="415" uniqueCount="266">
  <si>
    <t>Стоимость оказания медицинской помощи в условиях круглосуточного стационара, на 2021 год.</t>
  </si>
  <si>
    <t>руб.</t>
  </si>
  <si>
    <t>№ пп</t>
  </si>
  <si>
    <t>Реестровый номер МО</t>
  </si>
  <si>
    <t>Наименование медицинской организации, код (подразделения, отделения)</t>
  </si>
  <si>
    <t>Уровень МО</t>
  </si>
  <si>
    <t>В рамках базовой программы ОМС (КСГ)</t>
  </si>
  <si>
    <t>в том числе</t>
  </si>
  <si>
    <t>ВМП</t>
  </si>
  <si>
    <t>Всего в рамках базовой программы ОМС (КСГ+ВМП)</t>
  </si>
  <si>
    <t>В рамках сверх базовой программы ОМС (долечивание)</t>
  </si>
  <si>
    <t>профиль "Онкология"</t>
  </si>
  <si>
    <t>профиль "Медицинская реабилитация"</t>
  </si>
  <si>
    <t>КСГ (за исключением КСГ по профилям "Онкология" и "Медицинская реабилитация")</t>
  </si>
  <si>
    <t>021407</t>
  </si>
  <si>
    <t>ГБУЗ РБ КВД г. Салават</t>
  </si>
  <si>
    <t>1 А</t>
  </si>
  <si>
    <t>021613</t>
  </si>
  <si>
    <t>ГБУЗ РБ КВД г. Стерлитамак</t>
  </si>
  <si>
    <t>021501</t>
  </si>
  <si>
    <t>ГБУЗ РБ Акъярская ЦРБ</t>
  </si>
  <si>
    <t>022204</t>
  </si>
  <si>
    <t>ГБУЗ РБ Архангельская ЦРБ</t>
  </si>
  <si>
    <t>024001</t>
  </si>
  <si>
    <t>ГБУЗ РБ Аскаровская ЦРБ</t>
  </si>
  <si>
    <t>025004</t>
  </si>
  <si>
    <t>ГБУЗ РБ Аскинская ЦРБ</t>
  </si>
  <si>
    <t>022001</t>
  </si>
  <si>
    <t>ГБУЗ РБ Баймакская ЦГБ</t>
  </si>
  <si>
    <t>028004</t>
  </si>
  <si>
    <t>ГБУЗ РБ Бакалинская ЦРБ</t>
  </si>
  <si>
    <t>022103</t>
  </si>
  <si>
    <t>ГБУЗ РБ Балтачевская ЦРБ</t>
  </si>
  <si>
    <t>026005</t>
  </si>
  <si>
    <t>ГБУЗ РБ Белокатайская ЦРБ</t>
  </si>
  <si>
    <t>023005</t>
  </si>
  <si>
    <t>ГБУЗ РБ Бижбулякская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</si>
  <si>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</si>
  <si>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</si>
  <si>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</si>
  <si>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</si>
  <si>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</si>
  <si>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</si>
  <si>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025005</t>
  </si>
  <si>
    <t>ГБУЗ РБ Бураевская ЦРБ</t>
  </si>
  <si>
    <t>024002</t>
  </si>
  <si>
    <t>ГБУЗ РБ Бурзянская ЦРБ</t>
  </si>
  <si>
    <t>022102</t>
  </si>
  <si>
    <t>ГБУЗ РБ Верхне-Татышлинская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</si>
  <si>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</si>
  <si>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</si>
  <si>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</si>
  <si>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</si>
  <si>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</si>
  <si>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</si>
  <si>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022012</t>
  </si>
  <si>
    <t>ГБУЗ РБ Зилаирская ЦРБ</t>
  </si>
  <si>
    <t>022201</t>
  </si>
  <si>
    <t>ГБУЗ РБ Иглинская ЦРБ</t>
  </si>
  <si>
    <t>021105</t>
  </si>
  <si>
    <t>ГБУЗ РБ Исянгуловская ЦРБ</t>
  </si>
  <si>
    <t>021206</t>
  </si>
  <si>
    <t>ГБУЗ РБ Калтасинская ЦРБ</t>
  </si>
  <si>
    <t>025003</t>
  </si>
  <si>
    <t>ГБУЗ РБ Караидельская ЦРБ</t>
  </si>
  <si>
    <t>022205</t>
  </si>
  <si>
    <t>ГБУЗ РБ Кармаскалинская ЦРБ</t>
  </si>
  <si>
    <t>026004</t>
  </si>
  <si>
    <t>ГБУЗ РБ Кигинская ЦРБ</t>
  </si>
  <si>
    <t>021205</t>
  </si>
  <si>
    <t>ГБУЗ РБ Краснокамская ЦРБ</t>
  </si>
  <si>
    <t>021605</t>
  </si>
  <si>
    <t>ГБУЗ РБ Красноусольская ЦРБ</t>
  </si>
  <si>
    <t>022208</t>
  </si>
  <si>
    <t>ГБУЗ РБ Кушнаренковская ЦРБ</t>
  </si>
  <si>
    <t>026003</t>
  </si>
  <si>
    <t>ГБУЗ РБ Малоязовская ЦРБ</t>
  </si>
  <si>
    <t>025002</t>
  </si>
  <si>
    <t>ГБУЗ РБ Мишкинская ЦРБ</t>
  </si>
  <si>
    <t>021001</t>
  </si>
  <si>
    <t>ГБУЗ РБ Миякинская ЦРБ</t>
  </si>
  <si>
    <t>021102</t>
  </si>
  <si>
    <t>ГБУЗ РБ Мраковская ЦРБ</t>
  </si>
  <si>
    <t>022203</t>
  </si>
  <si>
    <t>ГБУЗ РБ Нуримановская ЦРБ</t>
  </si>
  <si>
    <t>021003</t>
  </si>
  <si>
    <t>ГБУЗ РБ Раевская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</si>
  <si>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</si>
  <si>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</si>
  <si>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</si>
  <si>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</si>
  <si>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</si>
  <si>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</si>
  <si>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027002</t>
  </si>
  <si>
    <t>ГБУЗ РБ Чекмагушевская ЦРБ</t>
  </si>
  <si>
    <t>022000</t>
  </si>
  <si>
    <t>ГБУЗ РБ Чишминская ЦРБ</t>
  </si>
  <si>
    <t>021706</t>
  </si>
  <si>
    <t>ГБУЗ РБ Шаранская ЦРБ</t>
  </si>
  <si>
    <t>022003</t>
  </si>
  <si>
    <t>ГБУЗ РБ Языковская ЦРБ</t>
  </si>
  <si>
    <t>022104</t>
  </si>
  <si>
    <t>ГБУЗ РБ Янаульская ЦРБ</t>
  </si>
  <si>
    <t>024200</t>
  </si>
  <si>
    <t xml:space="preserve">ГБУЗ РБ ГБ № 9 г. Уфа </t>
  </si>
  <si>
    <t>023500</t>
  </si>
  <si>
    <t xml:space="preserve">ГБУЗ РБ ГКБ № 5 г. Уфа </t>
  </si>
  <si>
    <t>2 А</t>
  </si>
  <si>
    <t>021616</t>
  </si>
  <si>
    <t xml:space="preserve">ГБУЗ РБ ДБ г. Стерлитамак </t>
  </si>
  <si>
    <t>029110</t>
  </si>
  <si>
    <t xml:space="preserve">ООО "Санаторий "Зеленая роща" </t>
  </si>
  <si>
    <t>020233</t>
  </si>
  <si>
    <t xml:space="preserve">ООО Санаторий "Юматово" </t>
  </si>
  <si>
    <t>022710</t>
  </si>
  <si>
    <t>ГБУЗ РКИБ</t>
  </si>
  <si>
    <t>020157</t>
  </si>
  <si>
    <t>ООО "Медицинский центр Семья"</t>
  </si>
  <si>
    <t xml:space="preserve">2 А </t>
  </si>
  <si>
    <t>023002</t>
  </si>
  <si>
    <t>ГБУЗ РБ Белебеевская ЦРБ</t>
  </si>
  <si>
    <t>2 Б</t>
  </si>
  <si>
    <t>025001</t>
  </si>
  <si>
    <t>ГБУЗ РБ Бирская ЦРБ</t>
  </si>
  <si>
    <t>029400</t>
  </si>
  <si>
    <t xml:space="preserve">ГБУЗ РБ ГКБ Демского района г. Уфа </t>
  </si>
  <si>
    <t>027001</t>
  </si>
  <si>
    <t>ГБУЗ РБ Дюртюлинская ЦРБ</t>
  </si>
  <si>
    <t>029001</t>
  </si>
  <si>
    <t>ГБУЗ РБ Ишимбайская ЦРБ</t>
  </si>
  <si>
    <t>021104</t>
  </si>
  <si>
    <t>ГБУЗ РБ Мелеузовская ЦРБ</t>
  </si>
  <si>
    <t>021502</t>
  </si>
  <si>
    <t xml:space="preserve">ГБУЗ РБ ЦГБ г. Сибай </t>
  </si>
  <si>
    <t>021602</t>
  </si>
  <si>
    <t xml:space="preserve">ГБУЗ РБ ГБ № 2 г. Стерлитамак </t>
  </si>
  <si>
    <t>021701</t>
  </si>
  <si>
    <t>ГБУЗ РБ Туймазинская ЦРБ</t>
  </si>
  <si>
    <t>021901</t>
  </si>
  <si>
    <t>ГБУЗ РБ Учалинская ЦГБ</t>
  </si>
  <si>
    <t>022117</t>
  </si>
  <si>
    <t xml:space="preserve">ЧУЗ "КБ "РЖД-Медицина" г. Уфа" </t>
  </si>
  <si>
    <t>021322</t>
  </si>
  <si>
    <t xml:space="preserve">ООО "Октябрьский сосудистый центр" </t>
  </si>
  <si>
    <t>3А</t>
  </si>
  <si>
    <t>021111</t>
  </si>
  <si>
    <t xml:space="preserve">ГБУЗ РБ ГБ г. Кумертау </t>
  </si>
  <si>
    <t>3 А</t>
  </si>
  <si>
    <t>Все отделения, кроме указанных ниже</t>
  </si>
  <si>
    <t>026001</t>
  </si>
  <si>
    <t>ГБУЗ РБ Месягутовская ЦРБ</t>
  </si>
  <si>
    <t>024005</t>
  </si>
  <si>
    <t>ГБУЗ РБ Белорецкая ЦРКБ</t>
  </si>
  <si>
    <t xml:space="preserve">3 А </t>
  </si>
  <si>
    <t>021303</t>
  </si>
  <si>
    <t xml:space="preserve">ГБУЗ РБ ГБ N 1 г. Октябрьский </t>
  </si>
  <si>
    <t>021201</t>
  </si>
  <si>
    <t>ГБУЗ РБ ГБ г. Нефтекамск</t>
  </si>
  <si>
    <t>12215</t>
  </si>
  <si>
    <t>12217</t>
  </si>
  <si>
    <t>12241</t>
  </si>
  <si>
    <t>021424</t>
  </si>
  <si>
    <t xml:space="preserve">ГБУЗ РБ ГБ г. Салават </t>
  </si>
  <si>
    <t>021601</t>
  </si>
  <si>
    <t>ГБУЗ РБ ГКБ № 1 г. Стерлитамак</t>
  </si>
  <si>
    <t>023000</t>
  </si>
  <si>
    <t xml:space="preserve">ГБУЗ РБ ГКБ N 10 г. Уфа </t>
  </si>
  <si>
    <t>022300</t>
  </si>
  <si>
    <t>ГБУЗ РБ ГКБ № 13 г. Уфа</t>
  </si>
  <si>
    <t>021800</t>
  </si>
  <si>
    <t xml:space="preserve">ГБУЗ РБ ГКБ N 8 г. Уфа </t>
  </si>
  <si>
    <t>023200</t>
  </si>
  <si>
    <t xml:space="preserve">ГБУЗ РБ РД N 3 г. Уфа </t>
  </si>
  <si>
    <t>021401</t>
  </si>
  <si>
    <t xml:space="preserve">ООО "Медсервис" (г. Салават) </t>
  </si>
  <si>
    <t>022100</t>
  </si>
  <si>
    <t xml:space="preserve">ГАУЗ РКОД МЗ РБ </t>
  </si>
  <si>
    <t>3 Б</t>
  </si>
  <si>
    <t>22108</t>
  </si>
  <si>
    <t>22109</t>
  </si>
  <si>
    <t>22392</t>
  </si>
  <si>
    <t>022130</t>
  </si>
  <si>
    <t xml:space="preserve">ГБУЗ РКЦ </t>
  </si>
  <si>
    <t xml:space="preserve">022112 </t>
  </si>
  <si>
    <t>ГБУЗ РКВД № 1</t>
  </si>
  <si>
    <t>3Б</t>
  </si>
  <si>
    <t>22183</t>
  </si>
  <si>
    <t>22184</t>
  </si>
  <si>
    <t>22185</t>
  </si>
  <si>
    <t>22186</t>
  </si>
  <si>
    <t>026000</t>
  </si>
  <si>
    <t xml:space="preserve">ГБУЗ РКПЦ МЗ РБ </t>
  </si>
  <si>
    <t>316</t>
  </si>
  <si>
    <t>391</t>
  </si>
  <si>
    <t>633</t>
  </si>
  <si>
    <t>634</t>
  </si>
  <si>
    <t>637</t>
  </si>
  <si>
    <t>95</t>
  </si>
  <si>
    <t>022400</t>
  </si>
  <si>
    <t xml:space="preserve">ГБУЗ РБ БСМП г. Уфа </t>
  </si>
  <si>
    <t>22259</t>
  </si>
  <si>
    <t>22269</t>
  </si>
  <si>
    <t>22262</t>
  </si>
  <si>
    <t>22265</t>
  </si>
  <si>
    <t>22268</t>
  </si>
  <si>
    <t>22284</t>
  </si>
  <si>
    <t>22579</t>
  </si>
  <si>
    <t>021200</t>
  </si>
  <si>
    <t xml:space="preserve">ГБУЗ РБ ГДКБ N 17 г. Уфа </t>
  </si>
  <si>
    <t>028000</t>
  </si>
  <si>
    <t>ГБУЗ РБ ГКБ № 18 г. Уфы</t>
  </si>
  <si>
    <t>10</t>
  </si>
  <si>
    <t>167</t>
  </si>
  <si>
    <t>19</t>
  </si>
  <si>
    <t>21</t>
  </si>
  <si>
    <t>022720</t>
  </si>
  <si>
    <t>ГБУЗ РБ ГКБ N 21 г. Уфа</t>
  </si>
  <si>
    <t>022109</t>
  </si>
  <si>
    <t xml:space="preserve">ГБУ "УфНИИ ГБ АН РБ" </t>
  </si>
  <si>
    <t>022120</t>
  </si>
  <si>
    <t>ГБУЗ РКБ им. Г.Г.Куватова</t>
  </si>
  <si>
    <t>3 В</t>
  </si>
  <si>
    <t>220001</t>
  </si>
  <si>
    <t>22128</t>
  </si>
  <si>
    <t>22115</t>
  </si>
  <si>
    <t>22116</t>
  </si>
  <si>
    <t>22117</t>
  </si>
  <si>
    <t>22119</t>
  </si>
  <si>
    <t>22393</t>
  </si>
  <si>
    <t>22133</t>
  </si>
  <si>
    <t>22123</t>
  </si>
  <si>
    <t>22120</t>
  </si>
  <si>
    <t>22122</t>
  </si>
  <si>
    <t>22124</t>
  </si>
  <si>
    <t>22125</t>
  </si>
  <si>
    <t>22129</t>
  </si>
  <si>
    <t>22126</t>
  </si>
  <si>
    <t>22127</t>
  </si>
  <si>
    <t>22336</t>
  </si>
  <si>
    <t>22588</t>
  </si>
  <si>
    <t>022113</t>
  </si>
  <si>
    <t>ГБУЗ РДКБ</t>
  </si>
  <si>
    <t>22203</t>
  </si>
  <si>
    <t>3В</t>
  </si>
  <si>
    <t>22231</t>
  </si>
  <si>
    <t>22233</t>
  </si>
  <si>
    <t>22204</t>
  </si>
  <si>
    <t>22206</t>
  </si>
  <si>
    <t>22208</t>
  </si>
  <si>
    <t>22210</t>
  </si>
  <si>
    <t>22211</t>
  </si>
  <si>
    <t>22212</t>
  </si>
  <si>
    <t>22235</t>
  </si>
  <si>
    <t>22202</t>
  </si>
  <si>
    <t>22331</t>
  </si>
  <si>
    <t>22330</t>
  </si>
  <si>
    <t>22352</t>
  </si>
  <si>
    <t>22371</t>
  </si>
  <si>
    <t>020188</t>
  </si>
  <si>
    <t xml:space="preserve">ООО "МД Проект 2010" </t>
  </si>
  <si>
    <t>022220</t>
  </si>
  <si>
    <t>ГБУЗ РКГВВ</t>
  </si>
  <si>
    <t>022800</t>
  </si>
  <si>
    <t>ФГБОУ ВО БГМУ МЗ РФ</t>
  </si>
  <si>
    <t>Объемы медицинской помощи за пределами РБ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</si>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</sst>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5">
    <xf numFmtId="0" fontId="0" fillId="0" borderId="0" xfId="0"/>
    <xf numFmtId="0" fontId="3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justify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/>
    <xf numFmtId="3" fontId="3" fillId="0" borderId="1" xfId="1" applyNumberFormat="1" applyFont="1" applyFill="1" applyBorder="1" applyAlignment="1"/>
    <xf numFmtId="49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Fill="1" applyBorder="1" applyAlignment="1"/>
    <xf numFmtId="0" fontId="3" fillId="0" borderId="1" xfId="1" applyFont="1" applyFill="1" applyBorder="1"/>
    <xf numFmtId="0" fontId="4" fillId="0" borderId="5" xfId="0" applyFont="1" applyFill="1" applyBorder="1" applyAlignment="1">
      <alignment horizontal="center" vertical="center" wrapText="1"/>
    </xf>
    <xf numFmtId="3" fontId="3" fillId="0" borderId="0" xfId="1" applyNumberFormat="1" applyFont="1" applyFill="1" applyAlignment="1"/>
    <xf numFmtId="3" fontId="3" fillId="0" borderId="0" xfId="1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137" xfId="2"/>
    <cellStyle name="Обычный 85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6" sqref="L6"/>
    </sheetView>
  </sheetViews>
  <sheetFormatPr defaultRowHeight="11.25" x14ac:dyDescent="0.2"/>
  <cols>
    <col min="1" max="1" width="5.140625" style="1" customWidth="1"/>
    <col min="2" max="2" width="9.5703125" style="1" customWidth="1"/>
    <col min="3" max="3" width="29.28515625" style="1" customWidth="1"/>
    <col min="4" max="4" width="8" style="1" customWidth="1"/>
    <col min="5" max="5" width="12.42578125" style="37" customWidth="1"/>
    <col min="6" max="6" width="11.85546875" style="37" customWidth="1"/>
    <col min="7" max="7" width="11.28515625" style="37" customWidth="1"/>
    <col min="8" max="8" width="14.140625" style="37" customWidth="1"/>
    <col min="9" max="9" width="11.7109375" style="37" customWidth="1"/>
    <col min="10" max="10" width="10.7109375" style="37" customWidth="1"/>
    <col min="11" max="11" width="13" style="37" customWidth="1"/>
    <col min="12" max="12" width="11.85546875" style="38" customWidth="1"/>
    <col min="13" max="256" width="9.140625" style="1"/>
    <col min="257" max="257" width="5.140625" style="1" customWidth="1"/>
    <col min="258" max="258" width="10.85546875" style="1" customWidth="1"/>
    <col min="259" max="259" width="34.7109375" style="1" customWidth="1"/>
    <col min="260" max="260" width="8" style="1" customWidth="1"/>
    <col min="261" max="261" width="15.85546875" style="1" customWidth="1"/>
    <col min="262" max="263" width="14" style="1" customWidth="1"/>
    <col min="264" max="264" width="16.28515625" style="1" customWidth="1"/>
    <col min="265" max="265" width="15" style="1" customWidth="1"/>
    <col min="266" max="266" width="11.85546875" style="1" customWidth="1"/>
    <col min="267" max="267" width="14.7109375" style="1" customWidth="1"/>
    <col min="268" max="268" width="12.140625" style="1" customWidth="1"/>
    <col min="269" max="512" width="9.140625" style="1"/>
    <col min="513" max="513" width="5.140625" style="1" customWidth="1"/>
    <col min="514" max="514" width="10.85546875" style="1" customWidth="1"/>
    <col min="515" max="515" width="34.7109375" style="1" customWidth="1"/>
    <col min="516" max="516" width="8" style="1" customWidth="1"/>
    <col min="517" max="517" width="15.85546875" style="1" customWidth="1"/>
    <col min="518" max="519" width="14" style="1" customWidth="1"/>
    <col min="520" max="520" width="16.28515625" style="1" customWidth="1"/>
    <col min="521" max="521" width="15" style="1" customWidth="1"/>
    <col min="522" max="522" width="11.85546875" style="1" customWidth="1"/>
    <col min="523" max="523" width="14.7109375" style="1" customWidth="1"/>
    <col min="524" max="524" width="12.140625" style="1" customWidth="1"/>
    <col min="525" max="768" width="9.140625" style="1"/>
    <col min="769" max="769" width="5.140625" style="1" customWidth="1"/>
    <col min="770" max="770" width="10.85546875" style="1" customWidth="1"/>
    <col min="771" max="771" width="34.7109375" style="1" customWidth="1"/>
    <col min="772" max="772" width="8" style="1" customWidth="1"/>
    <col min="773" max="773" width="15.85546875" style="1" customWidth="1"/>
    <col min="774" max="775" width="14" style="1" customWidth="1"/>
    <col min="776" max="776" width="16.28515625" style="1" customWidth="1"/>
    <col min="777" max="777" width="15" style="1" customWidth="1"/>
    <col min="778" max="778" width="11.85546875" style="1" customWidth="1"/>
    <col min="779" max="779" width="14.7109375" style="1" customWidth="1"/>
    <col min="780" max="780" width="12.140625" style="1" customWidth="1"/>
    <col min="781" max="1024" width="9.140625" style="1"/>
    <col min="1025" max="1025" width="5.140625" style="1" customWidth="1"/>
    <col min="1026" max="1026" width="10.85546875" style="1" customWidth="1"/>
    <col min="1027" max="1027" width="34.7109375" style="1" customWidth="1"/>
    <col min="1028" max="1028" width="8" style="1" customWidth="1"/>
    <col min="1029" max="1029" width="15.85546875" style="1" customWidth="1"/>
    <col min="1030" max="1031" width="14" style="1" customWidth="1"/>
    <col min="1032" max="1032" width="16.28515625" style="1" customWidth="1"/>
    <col min="1033" max="1033" width="15" style="1" customWidth="1"/>
    <col min="1034" max="1034" width="11.85546875" style="1" customWidth="1"/>
    <col min="1035" max="1035" width="14.7109375" style="1" customWidth="1"/>
    <col min="1036" max="1036" width="12.140625" style="1" customWidth="1"/>
    <col min="1037" max="1280" width="9.140625" style="1"/>
    <col min="1281" max="1281" width="5.140625" style="1" customWidth="1"/>
    <col min="1282" max="1282" width="10.85546875" style="1" customWidth="1"/>
    <col min="1283" max="1283" width="34.7109375" style="1" customWidth="1"/>
    <col min="1284" max="1284" width="8" style="1" customWidth="1"/>
    <col min="1285" max="1285" width="15.85546875" style="1" customWidth="1"/>
    <col min="1286" max="1287" width="14" style="1" customWidth="1"/>
    <col min="1288" max="1288" width="16.28515625" style="1" customWidth="1"/>
    <col min="1289" max="1289" width="15" style="1" customWidth="1"/>
    <col min="1290" max="1290" width="11.85546875" style="1" customWidth="1"/>
    <col min="1291" max="1291" width="14.7109375" style="1" customWidth="1"/>
    <col min="1292" max="1292" width="12.140625" style="1" customWidth="1"/>
    <col min="1293" max="1536" width="9.140625" style="1"/>
    <col min="1537" max="1537" width="5.140625" style="1" customWidth="1"/>
    <col min="1538" max="1538" width="10.85546875" style="1" customWidth="1"/>
    <col min="1539" max="1539" width="34.7109375" style="1" customWidth="1"/>
    <col min="1540" max="1540" width="8" style="1" customWidth="1"/>
    <col min="1541" max="1541" width="15.85546875" style="1" customWidth="1"/>
    <col min="1542" max="1543" width="14" style="1" customWidth="1"/>
    <col min="1544" max="1544" width="16.28515625" style="1" customWidth="1"/>
    <col min="1545" max="1545" width="15" style="1" customWidth="1"/>
    <col min="1546" max="1546" width="11.85546875" style="1" customWidth="1"/>
    <col min="1547" max="1547" width="14.7109375" style="1" customWidth="1"/>
    <col min="1548" max="1548" width="12.140625" style="1" customWidth="1"/>
    <col min="1549" max="1792" width="9.140625" style="1"/>
    <col min="1793" max="1793" width="5.140625" style="1" customWidth="1"/>
    <col min="1794" max="1794" width="10.85546875" style="1" customWidth="1"/>
    <col min="1795" max="1795" width="34.7109375" style="1" customWidth="1"/>
    <col min="1796" max="1796" width="8" style="1" customWidth="1"/>
    <col min="1797" max="1797" width="15.85546875" style="1" customWidth="1"/>
    <col min="1798" max="1799" width="14" style="1" customWidth="1"/>
    <col min="1800" max="1800" width="16.28515625" style="1" customWidth="1"/>
    <col min="1801" max="1801" width="15" style="1" customWidth="1"/>
    <col min="1802" max="1802" width="11.85546875" style="1" customWidth="1"/>
    <col min="1803" max="1803" width="14.7109375" style="1" customWidth="1"/>
    <col min="1804" max="1804" width="12.140625" style="1" customWidth="1"/>
    <col min="1805" max="2048" width="9.140625" style="1"/>
    <col min="2049" max="2049" width="5.140625" style="1" customWidth="1"/>
    <col min="2050" max="2050" width="10.85546875" style="1" customWidth="1"/>
    <col min="2051" max="2051" width="34.7109375" style="1" customWidth="1"/>
    <col min="2052" max="2052" width="8" style="1" customWidth="1"/>
    <col min="2053" max="2053" width="15.85546875" style="1" customWidth="1"/>
    <col min="2054" max="2055" width="14" style="1" customWidth="1"/>
    <col min="2056" max="2056" width="16.28515625" style="1" customWidth="1"/>
    <col min="2057" max="2057" width="15" style="1" customWidth="1"/>
    <col min="2058" max="2058" width="11.85546875" style="1" customWidth="1"/>
    <col min="2059" max="2059" width="14.7109375" style="1" customWidth="1"/>
    <col min="2060" max="2060" width="12.140625" style="1" customWidth="1"/>
    <col min="2061" max="2304" width="9.140625" style="1"/>
    <col min="2305" max="2305" width="5.140625" style="1" customWidth="1"/>
    <col min="2306" max="2306" width="10.85546875" style="1" customWidth="1"/>
    <col min="2307" max="2307" width="34.7109375" style="1" customWidth="1"/>
    <col min="2308" max="2308" width="8" style="1" customWidth="1"/>
    <col min="2309" max="2309" width="15.85546875" style="1" customWidth="1"/>
    <col min="2310" max="2311" width="14" style="1" customWidth="1"/>
    <col min="2312" max="2312" width="16.28515625" style="1" customWidth="1"/>
    <col min="2313" max="2313" width="15" style="1" customWidth="1"/>
    <col min="2314" max="2314" width="11.85546875" style="1" customWidth="1"/>
    <col min="2315" max="2315" width="14.7109375" style="1" customWidth="1"/>
    <col min="2316" max="2316" width="12.140625" style="1" customWidth="1"/>
    <col min="2317" max="2560" width="9.140625" style="1"/>
    <col min="2561" max="2561" width="5.140625" style="1" customWidth="1"/>
    <col min="2562" max="2562" width="10.85546875" style="1" customWidth="1"/>
    <col min="2563" max="2563" width="34.7109375" style="1" customWidth="1"/>
    <col min="2564" max="2564" width="8" style="1" customWidth="1"/>
    <col min="2565" max="2565" width="15.85546875" style="1" customWidth="1"/>
    <col min="2566" max="2567" width="14" style="1" customWidth="1"/>
    <col min="2568" max="2568" width="16.28515625" style="1" customWidth="1"/>
    <col min="2569" max="2569" width="15" style="1" customWidth="1"/>
    <col min="2570" max="2570" width="11.85546875" style="1" customWidth="1"/>
    <col min="2571" max="2571" width="14.7109375" style="1" customWidth="1"/>
    <col min="2572" max="2572" width="12.140625" style="1" customWidth="1"/>
    <col min="2573" max="2816" width="9.140625" style="1"/>
    <col min="2817" max="2817" width="5.140625" style="1" customWidth="1"/>
    <col min="2818" max="2818" width="10.85546875" style="1" customWidth="1"/>
    <col min="2819" max="2819" width="34.7109375" style="1" customWidth="1"/>
    <col min="2820" max="2820" width="8" style="1" customWidth="1"/>
    <col min="2821" max="2821" width="15.85546875" style="1" customWidth="1"/>
    <col min="2822" max="2823" width="14" style="1" customWidth="1"/>
    <col min="2824" max="2824" width="16.28515625" style="1" customWidth="1"/>
    <col min="2825" max="2825" width="15" style="1" customWidth="1"/>
    <col min="2826" max="2826" width="11.85546875" style="1" customWidth="1"/>
    <col min="2827" max="2827" width="14.7109375" style="1" customWidth="1"/>
    <col min="2828" max="2828" width="12.140625" style="1" customWidth="1"/>
    <col min="2829" max="3072" width="9.140625" style="1"/>
    <col min="3073" max="3073" width="5.140625" style="1" customWidth="1"/>
    <col min="3074" max="3074" width="10.85546875" style="1" customWidth="1"/>
    <col min="3075" max="3075" width="34.7109375" style="1" customWidth="1"/>
    <col min="3076" max="3076" width="8" style="1" customWidth="1"/>
    <col min="3077" max="3077" width="15.85546875" style="1" customWidth="1"/>
    <col min="3078" max="3079" width="14" style="1" customWidth="1"/>
    <col min="3080" max="3080" width="16.28515625" style="1" customWidth="1"/>
    <col min="3081" max="3081" width="15" style="1" customWidth="1"/>
    <col min="3082" max="3082" width="11.85546875" style="1" customWidth="1"/>
    <col min="3083" max="3083" width="14.7109375" style="1" customWidth="1"/>
    <col min="3084" max="3084" width="12.140625" style="1" customWidth="1"/>
    <col min="3085" max="3328" width="9.140625" style="1"/>
    <col min="3329" max="3329" width="5.140625" style="1" customWidth="1"/>
    <col min="3330" max="3330" width="10.85546875" style="1" customWidth="1"/>
    <col min="3331" max="3331" width="34.7109375" style="1" customWidth="1"/>
    <col min="3332" max="3332" width="8" style="1" customWidth="1"/>
    <col min="3333" max="3333" width="15.85546875" style="1" customWidth="1"/>
    <col min="3334" max="3335" width="14" style="1" customWidth="1"/>
    <col min="3336" max="3336" width="16.28515625" style="1" customWidth="1"/>
    <col min="3337" max="3337" width="15" style="1" customWidth="1"/>
    <col min="3338" max="3338" width="11.85546875" style="1" customWidth="1"/>
    <col min="3339" max="3339" width="14.7109375" style="1" customWidth="1"/>
    <col min="3340" max="3340" width="12.140625" style="1" customWidth="1"/>
    <col min="3341" max="3584" width="9.140625" style="1"/>
    <col min="3585" max="3585" width="5.140625" style="1" customWidth="1"/>
    <col min="3586" max="3586" width="10.85546875" style="1" customWidth="1"/>
    <col min="3587" max="3587" width="34.7109375" style="1" customWidth="1"/>
    <col min="3588" max="3588" width="8" style="1" customWidth="1"/>
    <col min="3589" max="3589" width="15.85546875" style="1" customWidth="1"/>
    <col min="3590" max="3591" width="14" style="1" customWidth="1"/>
    <col min="3592" max="3592" width="16.28515625" style="1" customWidth="1"/>
    <col min="3593" max="3593" width="15" style="1" customWidth="1"/>
    <col min="3594" max="3594" width="11.85546875" style="1" customWidth="1"/>
    <col min="3595" max="3595" width="14.7109375" style="1" customWidth="1"/>
    <col min="3596" max="3596" width="12.140625" style="1" customWidth="1"/>
    <col min="3597" max="3840" width="9.140625" style="1"/>
    <col min="3841" max="3841" width="5.140625" style="1" customWidth="1"/>
    <col min="3842" max="3842" width="10.85546875" style="1" customWidth="1"/>
    <col min="3843" max="3843" width="34.7109375" style="1" customWidth="1"/>
    <col min="3844" max="3844" width="8" style="1" customWidth="1"/>
    <col min="3845" max="3845" width="15.85546875" style="1" customWidth="1"/>
    <col min="3846" max="3847" width="14" style="1" customWidth="1"/>
    <col min="3848" max="3848" width="16.28515625" style="1" customWidth="1"/>
    <col min="3849" max="3849" width="15" style="1" customWidth="1"/>
    <col min="3850" max="3850" width="11.85546875" style="1" customWidth="1"/>
    <col min="3851" max="3851" width="14.7109375" style="1" customWidth="1"/>
    <col min="3852" max="3852" width="12.140625" style="1" customWidth="1"/>
    <col min="3853" max="4096" width="9.140625" style="1"/>
    <col min="4097" max="4097" width="5.140625" style="1" customWidth="1"/>
    <col min="4098" max="4098" width="10.85546875" style="1" customWidth="1"/>
    <col min="4099" max="4099" width="34.7109375" style="1" customWidth="1"/>
    <col min="4100" max="4100" width="8" style="1" customWidth="1"/>
    <col min="4101" max="4101" width="15.85546875" style="1" customWidth="1"/>
    <col min="4102" max="4103" width="14" style="1" customWidth="1"/>
    <col min="4104" max="4104" width="16.28515625" style="1" customWidth="1"/>
    <col min="4105" max="4105" width="15" style="1" customWidth="1"/>
    <col min="4106" max="4106" width="11.85546875" style="1" customWidth="1"/>
    <col min="4107" max="4107" width="14.7109375" style="1" customWidth="1"/>
    <col min="4108" max="4108" width="12.140625" style="1" customWidth="1"/>
    <col min="4109" max="4352" width="9.140625" style="1"/>
    <col min="4353" max="4353" width="5.140625" style="1" customWidth="1"/>
    <col min="4354" max="4354" width="10.85546875" style="1" customWidth="1"/>
    <col min="4355" max="4355" width="34.7109375" style="1" customWidth="1"/>
    <col min="4356" max="4356" width="8" style="1" customWidth="1"/>
    <col min="4357" max="4357" width="15.85546875" style="1" customWidth="1"/>
    <col min="4358" max="4359" width="14" style="1" customWidth="1"/>
    <col min="4360" max="4360" width="16.28515625" style="1" customWidth="1"/>
    <col min="4361" max="4361" width="15" style="1" customWidth="1"/>
    <col min="4362" max="4362" width="11.85546875" style="1" customWidth="1"/>
    <col min="4363" max="4363" width="14.7109375" style="1" customWidth="1"/>
    <col min="4364" max="4364" width="12.140625" style="1" customWidth="1"/>
    <col min="4365" max="4608" width="9.140625" style="1"/>
    <col min="4609" max="4609" width="5.140625" style="1" customWidth="1"/>
    <col min="4610" max="4610" width="10.85546875" style="1" customWidth="1"/>
    <col min="4611" max="4611" width="34.7109375" style="1" customWidth="1"/>
    <col min="4612" max="4612" width="8" style="1" customWidth="1"/>
    <col min="4613" max="4613" width="15.85546875" style="1" customWidth="1"/>
    <col min="4614" max="4615" width="14" style="1" customWidth="1"/>
    <col min="4616" max="4616" width="16.28515625" style="1" customWidth="1"/>
    <col min="4617" max="4617" width="15" style="1" customWidth="1"/>
    <col min="4618" max="4618" width="11.85546875" style="1" customWidth="1"/>
    <col min="4619" max="4619" width="14.7109375" style="1" customWidth="1"/>
    <col min="4620" max="4620" width="12.140625" style="1" customWidth="1"/>
    <col min="4621" max="4864" width="9.140625" style="1"/>
    <col min="4865" max="4865" width="5.140625" style="1" customWidth="1"/>
    <col min="4866" max="4866" width="10.85546875" style="1" customWidth="1"/>
    <col min="4867" max="4867" width="34.7109375" style="1" customWidth="1"/>
    <col min="4868" max="4868" width="8" style="1" customWidth="1"/>
    <col min="4869" max="4869" width="15.85546875" style="1" customWidth="1"/>
    <col min="4870" max="4871" width="14" style="1" customWidth="1"/>
    <col min="4872" max="4872" width="16.28515625" style="1" customWidth="1"/>
    <col min="4873" max="4873" width="15" style="1" customWidth="1"/>
    <col min="4874" max="4874" width="11.85546875" style="1" customWidth="1"/>
    <col min="4875" max="4875" width="14.7109375" style="1" customWidth="1"/>
    <col min="4876" max="4876" width="12.140625" style="1" customWidth="1"/>
    <col min="4877" max="5120" width="9.140625" style="1"/>
    <col min="5121" max="5121" width="5.140625" style="1" customWidth="1"/>
    <col min="5122" max="5122" width="10.85546875" style="1" customWidth="1"/>
    <col min="5123" max="5123" width="34.7109375" style="1" customWidth="1"/>
    <col min="5124" max="5124" width="8" style="1" customWidth="1"/>
    <col min="5125" max="5125" width="15.85546875" style="1" customWidth="1"/>
    <col min="5126" max="5127" width="14" style="1" customWidth="1"/>
    <col min="5128" max="5128" width="16.28515625" style="1" customWidth="1"/>
    <col min="5129" max="5129" width="15" style="1" customWidth="1"/>
    <col min="5130" max="5130" width="11.85546875" style="1" customWidth="1"/>
    <col min="5131" max="5131" width="14.7109375" style="1" customWidth="1"/>
    <col min="5132" max="5132" width="12.140625" style="1" customWidth="1"/>
    <col min="5133" max="5376" width="9.140625" style="1"/>
    <col min="5377" max="5377" width="5.140625" style="1" customWidth="1"/>
    <col min="5378" max="5378" width="10.85546875" style="1" customWidth="1"/>
    <col min="5379" max="5379" width="34.7109375" style="1" customWidth="1"/>
    <col min="5380" max="5380" width="8" style="1" customWidth="1"/>
    <col min="5381" max="5381" width="15.85546875" style="1" customWidth="1"/>
    <col min="5382" max="5383" width="14" style="1" customWidth="1"/>
    <col min="5384" max="5384" width="16.28515625" style="1" customWidth="1"/>
    <col min="5385" max="5385" width="15" style="1" customWidth="1"/>
    <col min="5386" max="5386" width="11.85546875" style="1" customWidth="1"/>
    <col min="5387" max="5387" width="14.7109375" style="1" customWidth="1"/>
    <col min="5388" max="5388" width="12.140625" style="1" customWidth="1"/>
    <col min="5389" max="5632" width="9.140625" style="1"/>
    <col min="5633" max="5633" width="5.140625" style="1" customWidth="1"/>
    <col min="5634" max="5634" width="10.85546875" style="1" customWidth="1"/>
    <col min="5635" max="5635" width="34.7109375" style="1" customWidth="1"/>
    <col min="5636" max="5636" width="8" style="1" customWidth="1"/>
    <col min="5637" max="5637" width="15.85546875" style="1" customWidth="1"/>
    <col min="5638" max="5639" width="14" style="1" customWidth="1"/>
    <col min="5640" max="5640" width="16.28515625" style="1" customWidth="1"/>
    <col min="5641" max="5641" width="15" style="1" customWidth="1"/>
    <col min="5642" max="5642" width="11.85546875" style="1" customWidth="1"/>
    <col min="5643" max="5643" width="14.7109375" style="1" customWidth="1"/>
    <col min="5644" max="5644" width="12.140625" style="1" customWidth="1"/>
    <col min="5645" max="5888" width="9.140625" style="1"/>
    <col min="5889" max="5889" width="5.140625" style="1" customWidth="1"/>
    <col min="5890" max="5890" width="10.85546875" style="1" customWidth="1"/>
    <col min="5891" max="5891" width="34.7109375" style="1" customWidth="1"/>
    <col min="5892" max="5892" width="8" style="1" customWidth="1"/>
    <col min="5893" max="5893" width="15.85546875" style="1" customWidth="1"/>
    <col min="5894" max="5895" width="14" style="1" customWidth="1"/>
    <col min="5896" max="5896" width="16.28515625" style="1" customWidth="1"/>
    <col min="5897" max="5897" width="15" style="1" customWidth="1"/>
    <col min="5898" max="5898" width="11.85546875" style="1" customWidth="1"/>
    <col min="5899" max="5899" width="14.7109375" style="1" customWidth="1"/>
    <col min="5900" max="5900" width="12.140625" style="1" customWidth="1"/>
    <col min="5901" max="6144" width="9.140625" style="1"/>
    <col min="6145" max="6145" width="5.140625" style="1" customWidth="1"/>
    <col min="6146" max="6146" width="10.85546875" style="1" customWidth="1"/>
    <col min="6147" max="6147" width="34.7109375" style="1" customWidth="1"/>
    <col min="6148" max="6148" width="8" style="1" customWidth="1"/>
    <col min="6149" max="6149" width="15.85546875" style="1" customWidth="1"/>
    <col min="6150" max="6151" width="14" style="1" customWidth="1"/>
    <col min="6152" max="6152" width="16.28515625" style="1" customWidth="1"/>
    <col min="6153" max="6153" width="15" style="1" customWidth="1"/>
    <col min="6154" max="6154" width="11.85546875" style="1" customWidth="1"/>
    <col min="6155" max="6155" width="14.7109375" style="1" customWidth="1"/>
    <col min="6156" max="6156" width="12.140625" style="1" customWidth="1"/>
    <col min="6157" max="6400" width="9.140625" style="1"/>
    <col min="6401" max="6401" width="5.140625" style="1" customWidth="1"/>
    <col min="6402" max="6402" width="10.85546875" style="1" customWidth="1"/>
    <col min="6403" max="6403" width="34.7109375" style="1" customWidth="1"/>
    <col min="6404" max="6404" width="8" style="1" customWidth="1"/>
    <col min="6405" max="6405" width="15.85546875" style="1" customWidth="1"/>
    <col min="6406" max="6407" width="14" style="1" customWidth="1"/>
    <col min="6408" max="6408" width="16.28515625" style="1" customWidth="1"/>
    <col min="6409" max="6409" width="15" style="1" customWidth="1"/>
    <col min="6410" max="6410" width="11.85546875" style="1" customWidth="1"/>
    <col min="6411" max="6411" width="14.7109375" style="1" customWidth="1"/>
    <col min="6412" max="6412" width="12.140625" style="1" customWidth="1"/>
    <col min="6413" max="6656" width="9.140625" style="1"/>
    <col min="6657" max="6657" width="5.140625" style="1" customWidth="1"/>
    <col min="6658" max="6658" width="10.85546875" style="1" customWidth="1"/>
    <col min="6659" max="6659" width="34.7109375" style="1" customWidth="1"/>
    <col min="6660" max="6660" width="8" style="1" customWidth="1"/>
    <col min="6661" max="6661" width="15.85546875" style="1" customWidth="1"/>
    <col min="6662" max="6663" width="14" style="1" customWidth="1"/>
    <col min="6664" max="6664" width="16.28515625" style="1" customWidth="1"/>
    <col min="6665" max="6665" width="15" style="1" customWidth="1"/>
    <col min="6666" max="6666" width="11.85546875" style="1" customWidth="1"/>
    <col min="6667" max="6667" width="14.7109375" style="1" customWidth="1"/>
    <col min="6668" max="6668" width="12.140625" style="1" customWidth="1"/>
    <col min="6669" max="6912" width="9.140625" style="1"/>
    <col min="6913" max="6913" width="5.140625" style="1" customWidth="1"/>
    <col min="6914" max="6914" width="10.85546875" style="1" customWidth="1"/>
    <col min="6915" max="6915" width="34.7109375" style="1" customWidth="1"/>
    <col min="6916" max="6916" width="8" style="1" customWidth="1"/>
    <col min="6917" max="6917" width="15.85546875" style="1" customWidth="1"/>
    <col min="6918" max="6919" width="14" style="1" customWidth="1"/>
    <col min="6920" max="6920" width="16.28515625" style="1" customWidth="1"/>
    <col min="6921" max="6921" width="15" style="1" customWidth="1"/>
    <col min="6922" max="6922" width="11.85546875" style="1" customWidth="1"/>
    <col min="6923" max="6923" width="14.7109375" style="1" customWidth="1"/>
    <col min="6924" max="6924" width="12.140625" style="1" customWidth="1"/>
    <col min="6925" max="7168" width="9.140625" style="1"/>
    <col min="7169" max="7169" width="5.140625" style="1" customWidth="1"/>
    <col min="7170" max="7170" width="10.85546875" style="1" customWidth="1"/>
    <col min="7171" max="7171" width="34.7109375" style="1" customWidth="1"/>
    <col min="7172" max="7172" width="8" style="1" customWidth="1"/>
    <col min="7173" max="7173" width="15.85546875" style="1" customWidth="1"/>
    <col min="7174" max="7175" width="14" style="1" customWidth="1"/>
    <col min="7176" max="7176" width="16.28515625" style="1" customWidth="1"/>
    <col min="7177" max="7177" width="15" style="1" customWidth="1"/>
    <col min="7178" max="7178" width="11.85546875" style="1" customWidth="1"/>
    <col min="7179" max="7179" width="14.7109375" style="1" customWidth="1"/>
    <col min="7180" max="7180" width="12.140625" style="1" customWidth="1"/>
    <col min="7181" max="7424" width="9.140625" style="1"/>
    <col min="7425" max="7425" width="5.140625" style="1" customWidth="1"/>
    <col min="7426" max="7426" width="10.85546875" style="1" customWidth="1"/>
    <col min="7427" max="7427" width="34.7109375" style="1" customWidth="1"/>
    <col min="7428" max="7428" width="8" style="1" customWidth="1"/>
    <col min="7429" max="7429" width="15.85546875" style="1" customWidth="1"/>
    <col min="7430" max="7431" width="14" style="1" customWidth="1"/>
    <col min="7432" max="7432" width="16.28515625" style="1" customWidth="1"/>
    <col min="7433" max="7433" width="15" style="1" customWidth="1"/>
    <col min="7434" max="7434" width="11.85546875" style="1" customWidth="1"/>
    <col min="7435" max="7435" width="14.7109375" style="1" customWidth="1"/>
    <col min="7436" max="7436" width="12.140625" style="1" customWidth="1"/>
    <col min="7437" max="7680" width="9.140625" style="1"/>
    <col min="7681" max="7681" width="5.140625" style="1" customWidth="1"/>
    <col min="7682" max="7682" width="10.85546875" style="1" customWidth="1"/>
    <col min="7683" max="7683" width="34.7109375" style="1" customWidth="1"/>
    <col min="7684" max="7684" width="8" style="1" customWidth="1"/>
    <col min="7685" max="7685" width="15.85546875" style="1" customWidth="1"/>
    <col min="7686" max="7687" width="14" style="1" customWidth="1"/>
    <col min="7688" max="7688" width="16.28515625" style="1" customWidth="1"/>
    <col min="7689" max="7689" width="15" style="1" customWidth="1"/>
    <col min="7690" max="7690" width="11.85546875" style="1" customWidth="1"/>
    <col min="7691" max="7691" width="14.7109375" style="1" customWidth="1"/>
    <col min="7692" max="7692" width="12.140625" style="1" customWidth="1"/>
    <col min="7693" max="7936" width="9.140625" style="1"/>
    <col min="7937" max="7937" width="5.140625" style="1" customWidth="1"/>
    <col min="7938" max="7938" width="10.85546875" style="1" customWidth="1"/>
    <col min="7939" max="7939" width="34.7109375" style="1" customWidth="1"/>
    <col min="7940" max="7940" width="8" style="1" customWidth="1"/>
    <col min="7941" max="7941" width="15.85546875" style="1" customWidth="1"/>
    <col min="7942" max="7943" width="14" style="1" customWidth="1"/>
    <col min="7944" max="7944" width="16.28515625" style="1" customWidth="1"/>
    <col min="7945" max="7945" width="15" style="1" customWidth="1"/>
    <col min="7946" max="7946" width="11.85546875" style="1" customWidth="1"/>
    <col min="7947" max="7947" width="14.7109375" style="1" customWidth="1"/>
    <col min="7948" max="7948" width="12.140625" style="1" customWidth="1"/>
    <col min="7949" max="8192" width="9.140625" style="1"/>
    <col min="8193" max="8193" width="5.140625" style="1" customWidth="1"/>
    <col min="8194" max="8194" width="10.85546875" style="1" customWidth="1"/>
    <col min="8195" max="8195" width="34.7109375" style="1" customWidth="1"/>
    <col min="8196" max="8196" width="8" style="1" customWidth="1"/>
    <col min="8197" max="8197" width="15.85546875" style="1" customWidth="1"/>
    <col min="8198" max="8199" width="14" style="1" customWidth="1"/>
    <col min="8200" max="8200" width="16.28515625" style="1" customWidth="1"/>
    <col min="8201" max="8201" width="15" style="1" customWidth="1"/>
    <col min="8202" max="8202" width="11.85546875" style="1" customWidth="1"/>
    <col min="8203" max="8203" width="14.7109375" style="1" customWidth="1"/>
    <col min="8204" max="8204" width="12.140625" style="1" customWidth="1"/>
    <col min="8205" max="8448" width="9.140625" style="1"/>
    <col min="8449" max="8449" width="5.140625" style="1" customWidth="1"/>
    <col min="8450" max="8450" width="10.85546875" style="1" customWidth="1"/>
    <col min="8451" max="8451" width="34.7109375" style="1" customWidth="1"/>
    <col min="8452" max="8452" width="8" style="1" customWidth="1"/>
    <col min="8453" max="8453" width="15.85546875" style="1" customWidth="1"/>
    <col min="8454" max="8455" width="14" style="1" customWidth="1"/>
    <col min="8456" max="8456" width="16.28515625" style="1" customWidth="1"/>
    <col min="8457" max="8457" width="15" style="1" customWidth="1"/>
    <col min="8458" max="8458" width="11.85546875" style="1" customWidth="1"/>
    <col min="8459" max="8459" width="14.7109375" style="1" customWidth="1"/>
    <col min="8460" max="8460" width="12.140625" style="1" customWidth="1"/>
    <col min="8461" max="8704" width="9.140625" style="1"/>
    <col min="8705" max="8705" width="5.140625" style="1" customWidth="1"/>
    <col min="8706" max="8706" width="10.85546875" style="1" customWidth="1"/>
    <col min="8707" max="8707" width="34.7109375" style="1" customWidth="1"/>
    <col min="8708" max="8708" width="8" style="1" customWidth="1"/>
    <col min="8709" max="8709" width="15.85546875" style="1" customWidth="1"/>
    <col min="8710" max="8711" width="14" style="1" customWidth="1"/>
    <col min="8712" max="8712" width="16.28515625" style="1" customWidth="1"/>
    <col min="8713" max="8713" width="15" style="1" customWidth="1"/>
    <col min="8714" max="8714" width="11.85546875" style="1" customWidth="1"/>
    <col min="8715" max="8715" width="14.7109375" style="1" customWidth="1"/>
    <col min="8716" max="8716" width="12.140625" style="1" customWidth="1"/>
    <col min="8717" max="8960" width="9.140625" style="1"/>
    <col min="8961" max="8961" width="5.140625" style="1" customWidth="1"/>
    <col min="8962" max="8962" width="10.85546875" style="1" customWidth="1"/>
    <col min="8963" max="8963" width="34.7109375" style="1" customWidth="1"/>
    <col min="8964" max="8964" width="8" style="1" customWidth="1"/>
    <col min="8965" max="8965" width="15.85546875" style="1" customWidth="1"/>
    <col min="8966" max="8967" width="14" style="1" customWidth="1"/>
    <col min="8968" max="8968" width="16.28515625" style="1" customWidth="1"/>
    <col min="8969" max="8969" width="15" style="1" customWidth="1"/>
    <col min="8970" max="8970" width="11.85546875" style="1" customWidth="1"/>
    <col min="8971" max="8971" width="14.7109375" style="1" customWidth="1"/>
    <col min="8972" max="8972" width="12.140625" style="1" customWidth="1"/>
    <col min="8973" max="9216" width="9.140625" style="1"/>
    <col min="9217" max="9217" width="5.140625" style="1" customWidth="1"/>
    <col min="9218" max="9218" width="10.85546875" style="1" customWidth="1"/>
    <col min="9219" max="9219" width="34.7109375" style="1" customWidth="1"/>
    <col min="9220" max="9220" width="8" style="1" customWidth="1"/>
    <col min="9221" max="9221" width="15.85546875" style="1" customWidth="1"/>
    <col min="9222" max="9223" width="14" style="1" customWidth="1"/>
    <col min="9224" max="9224" width="16.28515625" style="1" customWidth="1"/>
    <col min="9225" max="9225" width="15" style="1" customWidth="1"/>
    <col min="9226" max="9226" width="11.85546875" style="1" customWidth="1"/>
    <col min="9227" max="9227" width="14.7109375" style="1" customWidth="1"/>
    <col min="9228" max="9228" width="12.140625" style="1" customWidth="1"/>
    <col min="9229" max="9472" width="9.140625" style="1"/>
    <col min="9473" max="9473" width="5.140625" style="1" customWidth="1"/>
    <col min="9474" max="9474" width="10.85546875" style="1" customWidth="1"/>
    <col min="9475" max="9475" width="34.7109375" style="1" customWidth="1"/>
    <col min="9476" max="9476" width="8" style="1" customWidth="1"/>
    <col min="9477" max="9477" width="15.85546875" style="1" customWidth="1"/>
    <col min="9478" max="9479" width="14" style="1" customWidth="1"/>
    <col min="9480" max="9480" width="16.28515625" style="1" customWidth="1"/>
    <col min="9481" max="9481" width="15" style="1" customWidth="1"/>
    <col min="9482" max="9482" width="11.85546875" style="1" customWidth="1"/>
    <col min="9483" max="9483" width="14.7109375" style="1" customWidth="1"/>
    <col min="9484" max="9484" width="12.140625" style="1" customWidth="1"/>
    <col min="9485" max="9728" width="9.140625" style="1"/>
    <col min="9729" max="9729" width="5.140625" style="1" customWidth="1"/>
    <col min="9730" max="9730" width="10.85546875" style="1" customWidth="1"/>
    <col min="9731" max="9731" width="34.7109375" style="1" customWidth="1"/>
    <col min="9732" max="9732" width="8" style="1" customWidth="1"/>
    <col min="9733" max="9733" width="15.85546875" style="1" customWidth="1"/>
    <col min="9734" max="9735" width="14" style="1" customWidth="1"/>
    <col min="9736" max="9736" width="16.28515625" style="1" customWidth="1"/>
    <col min="9737" max="9737" width="15" style="1" customWidth="1"/>
    <col min="9738" max="9738" width="11.85546875" style="1" customWidth="1"/>
    <col min="9739" max="9739" width="14.7109375" style="1" customWidth="1"/>
    <col min="9740" max="9740" width="12.140625" style="1" customWidth="1"/>
    <col min="9741" max="9984" width="9.140625" style="1"/>
    <col min="9985" max="9985" width="5.140625" style="1" customWidth="1"/>
    <col min="9986" max="9986" width="10.85546875" style="1" customWidth="1"/>
    <col min="9987" max="9987" width="34.7109375" style="1" customWidth="1"/>
    <col min="9988" max="9988" width="8" style="1" customWidth="1"/>
    <col min="9989" max="9989" width="15.85546875" style="1" customWidth="1"/>
    <col min="9990" max="9991" width="14" style="1" customWidth="1"/>
    <col min="9992" max="9992" width="16.28515625" style="1" customWidth="1"/>
    <col min="9993" max="9993" width="15" style="1" customWidth="1"/>
    <col min="9994" max="9994" width="11.85546875" style="1" customWidth="1"/>
    <col min="9995" max="9995" width="14.7109375" style="1" customWidth="1"/>
    <col min="9996" max="9996" width="12.140625" style="1" customWidth="1"/>
    <col min="9997" max="10240" width="9.140625" style="1"/>
    <col min="10241" max="10241" width="5.140625" style="1" customWidth="1"/>
    <col min="10242" max="10242" width="10.85546875" style="1" customWidth="1"/>
    <col min="10243" max="10243" width="34.7109375" style="1" customWidth="1"/>
    <col min="10244" max="10244" width="8" style="1" customWidth="1"/>
    <col min="10245" max="10245" width="15.85546875" style="1" customWidth="1"/>
    <col min="10246" max="10247" width="14" style="1" customWidth="1"/>
    <col min="10248" max="10248" width="16.28515625" style="1" customWidth="1"/>
    <col min="10249" max="10249" width="15" style="1" customWidth="1"/>
    <col min="10250" max="10250" width="11.85546875" style="1" customWidth="1"/>
    <col min="10251" max="10251" width="14.7109375" style="1" customWidth="1"/>
    <col min="10252" max="10252" width="12.140625" style="1" customWidth="1"/>
    <col min="10253" max="10496" width="9.140625" style="1"/>
    <col min="10497" max="10497" width="5.140625" style="1" customWidth="1"/>
    <col min="10498" max="10498" width="10.85546875" style="1" customWidth="1"/>
    <col min="10499" max="10499" width="34.7109375" style="1" customWidth="1"/>
    <col min="10500" max="10500" width="8" style="1" customWidth="1"/>
    <col min="10501" max="10501" width="15.85546875" style="1" customWidth="1"/>
    <col min="10502" max="10503" width="14" style="1" customWidth="1"/>
    <col min="10504" max="10504" width="16.28515625" style="1" customWidth="1"/>
    <col min="10505" max="10505" width="15" style="1" customWidth="1"/>
    <col min="10506" max="10506" width="11.85546875" style="1" customWidth="1"/>
    <col min="10507" max="10507" width="14.7109375" style="1" customWidth="1"/>
    <col min="10508" max="10508" width="12.140625" style="1" customWidth="1"/>
    <col min="10509" max="10752" width="9.140625" style="1"/>
    <col min="10753" max="10753" width="5.140625" style="1" customWidth="1"/>
    <col min="10754" max="10754" width="10.85546875" style="1" customWidth="1"/>
    <col min="10755" max="10755" width="34.7109375" style="1" customWidth="1"/>
    <col min="10756" max="10756" width="8" style="1" customWidth="1"/>
    <col min="10757" max="10757" width="15.85546875" style="1" customWidth="1"/>
    <col min="10758" max="10759" width="14" style="1" customWidth="1"/>
    <col min="10760" max="10760" width="16.28515625" style="1" customWidth="1"/>
    <col min="10761" max="10761" width="15" style="1" customWidth="1"/>
    <col min="10762" max="10762" width="11.85546875" style="1" customWidth="1"/>
    <col min="10763" max="10763" width="14.7109375" style="1" customWidth="1"/>
    <col min="10764" max="10764" width="12.140625" style="1" customWidth="1"/>
    <col min="10765" max="11008" width="9.140625" style="1"/>
    <col min="11009" max="11009" width="5.140625" style="1" customWidth="1"/>
    <col min="11010" max="11010" width="10.85546875" style="1" customWidth="1"/>
    <col min="11011" max="11011" width="34.7109375" style="1" customWidth="1"/>
    <col min="11012" max="11012" width="8" style="1" customWidth="1"/>
    <col min="11013" max="11013" width="15.85546875" style="1" customWidth="1"/>
    <col min="11014" max="11015" width="14" style="1" customWidth="1"/>
    <col min="11016" max="11016" width="16.28515625" style="1" customWidth="1"/>
    <col min="11017" max="11017" width="15" style="1" customWidth="1"/>
    <col min="11018" max="11018" width="11.85546875" style="1" customWidth="1"/>
    <col min="11019" max="11019" width="14.7109375" style="1" customWidth="1"/>
    <col min="11020" max="11020" width="12.140625" style="1" customWidth="1"/>
    <col min="11021" max="11264" width="9.140625" style="1"/>
    <col min="11265" max="11265" width="5.140625" style="1" customWidth="1"/>
    <col min="11266" max="11266" width="10.85546875" style="1" customWidth="1"/>
    <col min="11267" max="11267" width="34.7109375" style="1" customWidth="1"/>
    <col min="11268" max="11268" width="8" style="1" customWidth="1"/>
    <col min="11269" max="11269" width="15.85546875" style="1" customWidth="1"/>
    <col min="11270" max="11271" width="14" style="1" customWidth="1"/>
    <col min="11272" max="11272" width="16.28515625" style="1" customWidth="1"/>
    <col min="11273" max="11273" width="15" style="1" customWidth="1"/>
    <col min="11274" max="11274" width="11.85546875" style="1" customWidth="1"/>
    <col min="11275" max="11275" width="14.7109375" style="1" customWidth="1"/>
    <col min="11276" max="11276" width="12.140625" style="1" customWidth="1"/>
    <col min="11277" max="11520" width="9.140625" style="1"/>
    <col min="11521" max="11521" width="5.140625" style="1" customWidth="1"/>
    <col min="11522" max="11522" width="10.85546875" style="1" customWidth="1"/>
    <col min="11523" max="11523" width="34.7109375" style="1" customWidth="1"/>
    <col min="11524" max="11524" width="8" style="1" customWidth="1"/>
    <col min="11525" max="11525" width="15.85546875" style="1" customWidth="1"/>
    <col min="11526" max="11527" width="14" style="1" customWidth="1"/>
    <col min="11528" max="11528" width="16.28515625" style="1" customWidth="1"/>
    <col min="11529" max="11529" width="15" style="1" customWidth="1"/>
    <col min="11530" max="11530" width="11.85546875" style="1" customWidth="1"/>
    <col min="11531" max="11531" width="14.7109375" style="1" customWidth="1"/>
    <col min="11532" max="11532" width="12.140625" style="1" customWidth="1"/>
    <col min="11533" max="11776" width="9.140625" style="1"/>
    <col min="11777" max="11777" width="5.140625" style="1" customWidth="1"/>
    <col min="11778" max="11778" width="10.85546875" style="1" customWidth="1"/>
    <col min="11779" max="11779" width="34.7109375" style="1" customWidth="1"/>
    <col min="11780" max="11780" width="8" style="1" customWidth="1"/>
    <col min="11781" max="11781" width="15.85546875" style="1" customWidth="1"/>
    <col min="11782" max="11783" width="14" style="1" customWidth="1"/>
    <col min="11784" max="11784" width="16.28515625" style="1" customWidth="1"/>
    <col min="11785" max="11785" width="15" style="1" customWidth="1"/>
    <col min="11786" max="11786" width="11.85546875" style="1" customWidth="1"/>
    <col min="11787" max="11787" width="14.7109375" style="1" customWidth="1"/>
    <col min="11788" max="11788" width="12.140625" style="1" customWidth="1"/>
    <col min="11789" max="12032" width="9.140625" style="1"/>
    <col min="12033" max="12033" width="5.140625" style="1" customWidth="1"/>
    <col min="12034" max="12034" width="10.85546875" style="1" customWidth="1"/>
    <col min="12035" max="12035" width="34.7109375" style="1" customWidth="1"/>
    <col min="12036" max="12036" width="8" style="1" customWidth="1"/>
    <col min="12037" max="12037" width="15.85546875" style="1" customWidth="1"/>
    <col min="12038" max="12039" width="14" style="1" customWidth="1"/>
    <col min="12040" max="12040" width="16.28515625" style="1" customWidth="1"/>
    <col min="12041" max="12041" width="15" style="1" customWidth="1"/>
    <col min="12042" max="12042" width="11.85546875" style="1" customWidth="1"/>
    <col min="12043" max="12043" width="14.7109375" style="1" customWidth="1"/>
    <col min="12044" max="12044" width="12.140625" style="1" customWidth="1"/>
    <col min="12045" max="12288" width="9.140625" style="1"/>
    <col min="12289" max="12289" width="5.140625" style="1" customWidth="1"/>
    <col min="12290" max="12290" width="10.85546875" style="1" customWidth="1"/>
    <col min="12291" max="12291" width="34.7109375" style="1" customWidth="1"/>
    <col min="12292" max="12292" width="8" style="1" customWidth="1"/>
    <col min="12293" max="12293" width="15.85546875" style="1" customWidth="1"/>
    <col min="12294" max="12295" width="14" style="1" customWidth="1"/>
    <col min="12296" max="12296" width="16.28515625" style="1" customWidth="1"/>
    <col min="12297" max="12297" width="15" style="1" customWidth="1"/>
    <col min="12298" max="12298" width="11.85546875" style="1" customWidth="1"/>
    <col min="12299" max="12299" width="14.7109375" style="1" customWidth="1"/>
    <col min="12300" max="12300" width="12.140625" style="1" customWidth="1"/>
    <col min="12301" max="12544" width="9.140625" style="1"/>
    <col min="12545" max="12545" width="5.140625" style="1" customWidth="1"/>
    <col min="12546" max="12546" width="10.85546875" style="1" customWidth="1"/>
    <col min="12547" max="12547" width="34.7109375" style="1" customWidth="1"/>
    <col min="12548" max="12548" width="8" style="1" customWidth="1"/>
    <col min="12549" max="12549" width="15.85546875" style="1" customWidth="1"/>
    <col min="12550" max="12551" width="14" style="1" customWidth="1"/>
    <col min="12552" max="12552" width="16.28515625" style="1" customWidth="1"/>
    <col min="12553" max="12553" width="15" style="1" customWidth="1"/>
    <col min="12554" max="12554" width="11.85546875" style="1" customWidth="1"/>
    <col min="12555" max="12555" width="14.7109375" style="1" customWidth="1"/>
    <col min="12556" max="12556" width="12.140625" style="1" customWidth="1"/>
    <col min="12557" max="12800" width="9.140625" style="1"/>
    <col min="12801" max="12801" width="5.140625" style="1" customWidth="1"/>
    <col min="12802" max="12802" width="10.85546875" style="1" customWidth="1"/>
    <col min="12803" max="12803" width="34.7109375" style="1" customWidth="1"/>
    <col min="12804" max="12804" width="8" style="1" customWidth="1"/>
    <col min="12805" max="12805" width="15.85546875" style="1" customWidth="1"/>
    <col min="12806" max="12807" width="14" style="1" customWidth="1"/>
    <col min="12808" max="12808" width="16.28515625" style="1" customWidth="1"/>
    <col min="12809" max="12809" width="15" style="1" customWidth="1"/>
    <col min="12810" max="12810" width="11.85546875" style="1" customWidth="1"/>
    <col min="12811" max="12811" width="14.7109375" style="1" customWidth="1"/>
    <col min="12812" max="12812" width="12.140625" style="1" customWidth="1"/>
    <col min="12813" max="13056" width="9.140625" style="1"/>
    <col min="13057" max="13057" width="5.140625" style="1" customWidth="1"/>
    <col min="13058" max="13058" width="10.85546875" style="1" customWidth="1"/>
    <col min="13059" max="13059" width="34.7109375" style="1" customWidth="1"/>
    <col min="13060" max="13060" width="8" style="1" customWidth="1"/>
    <col min="13061" max="13061" width="15.85546875" style="1" customWidth="1"/>
    <col min="13062" max="13063" width="14" style="1" customWidth="1"/>
    <col min="13064" max="13064" width="16.28515625" style="1" customWidth="1"/>
    <col min="13065" max="13065" width="15" style="1" customWidth="1"/>
    <col min="13066" max="13066" width="11.85546875" style="1" customWidth="1"/>
    <col min="13067" max="13067" width="14.7109375" style="1" customWidth="1"/>
    <col min="13068" max="13068" width="12.140625" style="1" customWidth="1"/>
    <col min="13069" max="13312" width="9.140625" style="1"/>
    <col min="13313" max="13313" width="5.140625" style="1" customWidth="1"/>
    <col min="13314" max="13314" width="10.85546875" style="1" customWidth="1"/>
    <col min="13315" max="13315" width="34.7109375" style="1" customWidth="1"/>
    <col min="13316" max="13316" width="8" style="1" customWidth="1"/>
    <col min="13317" max="13317" width="15.85546875" style="1" customWidth="1"/>
    <col min="13318" max="13319" width="14" style="1" customWidth="1"/>
    <col min="13320" max="13320" width="16.28515625" style="1" customWidth="1"/>
    <col min="13321" max="13321" width="15" style="1" customWidth="1"/>
    <col min="13322" max="13322" width="11.85546875" style="1" customWidth="1"/>
    <col min="13323" max="13323" width="14.7109375" style="1" customWidth="1"/>
    <col min="13324" max="13324" width="12.140625" style="1" customWidth="1"/>
    <col min="13325" max="13568" width="9.140625" style="1"/>
    <col min="13569" max="13569" width="5.140625" style="1" customWidth="1"/>
    <col min="13570" max="13570" width="10.85546875" style="1" customWidth="1"/>
    <col min="13571" max="13571" width="34.7109375" style="1" customWidth="1"/>
    <col min="13572" max="13572" width="8" style="1" customWidth="1"/>
    <col min="13573" max="13573" width="15.85546875" style="1" customWidth="1"/>
    <col min="13574" max="13575" width="14" style="1" customWidth="1"/>
    <col min="13576" max="13576" width="16.28515625" style="1" customWidth="1"/>
    <col min="13577" max="13577" width="15" style="1" customWidth="1"/>
    <col min="13578" max="13578" width="11.85546875" style="1" customWidth="1"/>
    <col min="13579" max="13579" width="14.7109375" style="1" customWidth="1"/>
    <col min="13580" max="13580" width="12.140625" style="1" customWidth="1"/>
    <col min="13581" max="13824" width="9.140625" style="1"/>
    <col min="13825" max="13825" width="5.140625" style="1" customWidth="1"/>
    <col min="13826" max="13826" width="10.85546875" style="1" customWidth="1"/>
    <col min="13827" max="13827" width="34.7109375" style="1" customWidth="1"/>
    <col min="13828" max="13828" width="8" style="1" customWidth="1"/>
    <col min="13829" max="13829" width="15.85546875" style="1" customWidth="1"/>
    <col min="13830" max="13831" width="14" style="1" customWidth="1"/>
    <col min="13832" max="13832" width="16.28515625" style="1" customWidth="1"/>
    <col min="13833" max="13833" width="15" style="1" customWidth="1"/>
    <col min="13834" max="13834" width="11.85546875" style="1" customWidth="1"/>
    <col min="13835" max="13835" width="14.7109375" style="1" customWidth="1"/>
    <col min="13836" max="13836" width="12.140625" style="1" customWidth="1"/>
    <col min="13837" max="14080" width="9.140625" style="1"/>
    <col min="14081" max="14081" width="5.140625" style="1" customWidth="1"/>
    <col min="14082" max="14082" width="10.85546875" style="1" customWidth="1"/>
    <col min="14083" max="14083" width="34.7109375" style="1" customWidth="1"/>
    <col min="14084" max="14084" width="8" style="1" customWidth="1"/>
    <col min="14085" max="14085" width="15.85546875" style="1" customWidth="1"/>
    <col min="14086" max="14087" width="14" style="1" customWidth="1"/>
    <col min="14088" max="14088" width="16.28515625" style="1" customWidth="1"/>
    <col min="14089" max="14089" width="15" style="1" customWidth="1"/>
    <col min="14090" max="14090" width="11.85546875" style="1" customWidth="1"/>
    <col min="14091" max="14091" width="14.7109375" style="1" customWidth="1"/>
    <col min="14092" max="14092" width="12.140625" style="1" customWidth="1"/>
    <col min="14093" max="14336" width="9.140625" style="1"/>
    <col min="14337" max="14337" width="5.140625" style="1" customWidth="1"/>
    <col min="14338" max="14338" width="10.85546875" style="1" customWidth="1"/>
    <col min="14339" max="14339" width="34.7109375" style="1" customWidth="1"/>
    <col min="14340" max="14340" width="8" style="1" customWidth="1"/>
    <col min="14341" max="14341" width="15.85546875" style="1" customWidth="1"/>
    <col min="14342" max="14343" width="14" style="1" customWidth="1"/>
    <col min="14344" max="14344" width="16.28515625" style="1" customWidth="1"/>
    <col min="14345" max="14345" width="15" style="1" customWidth="1"/>
    <col min="14346" max="14346" width="11.85546875" style="1" customWidth="1"/>
    <col min="14347" max="14347" width="14.7109375" style="1" customWidth="1"/>
    <col min="14348" max="14348" width="12.140625" style="1" customWidth="1"/>
    <col min="14349" max="14592" width="9.140625" style="1"/>
    <col min="14593" max="14593" width="5.140625" style="1" customWidth="1"/>
    <col min="14594" max="14594" width="10.85546875" style="1" customWidth="1"/>
    <col min="14595" max="14595" width="34.7109375" style="1" customWidth="1"/>
    <col min="14596" max="14596" width="8" style="1" customWidth="1"/>
    <col min="14597" max="14597" width="15.85546875" style="1" customWidth="1"/>
    <col min="14598" max="14599" width="14" style="1" customWidth="1"/>
    <col min="14600" max="14600" width="16.28515625" style="1" customWidth="1"/>
    <col min="14601" max="14601" width="15" style="1" customWidth="1"/>
    <col min="14602" max="14602" width="11.85546875" style="1" customWidth="1"/>
    <col min="14603" max="14603" width="14.7109375" style="1" customWidth="1"/>
    <col min="14604" max="14604" width="12.140625" style="1" customWidth="1"/>
    <col min="14605" max="14848" width="9.140625" style="1"/>
    <col min="14849" max="14849" width="5.140625" style="1" customWidth="1"/>
    <col min="14850" max="14850" width="10.85546875" style="1" customWidth="1"/>
    <col min="14851" max="14851" width="34.7109375" style="1" customWidth="1"/>
    <col min="14852" max="14852" width="8" style="1" customWidth="1"/>
    <col min="14853" max="14853" width="15.85546875" style="1" customWidth="1"/>
    <col min="14854" max="14855" width="14" style="1" customWidth="1"/>
    <col min="14856" max="14856" width="16.28515625" style="1" customWidth="1"/>
    <col min="14857" max="14857" width="15" style="1" customWidth="1"/>
    <col min="14858" max="14858" width="11.85546875" style="1" customWidth="1"/>
    <col min="14859" max="14859" width="14.7109375" style="1" customWidth="1"/>
    <col min="14860" max="14860" width="12.140625" style="1" customWidth="1"/>
    <col min="14861" max="15104" width="9.140625" style="1"/>
    <col min="15105" max="15105" width="5.140625" style="1" customWidth="1"/>
    <col min="15106" max="15106" width="10.85546875" style="1" customWidth="1"/>
    <col min="15107" max="15107" width="34.7109375" style="1" customWidth="1"/>
    <col min="15108" max="15108" width="8" style="1" customWidth="1"/>
    <col min="15109" max="15109" width="15.85546875" style="1" customWidth="1"/>
    <col min="15110" max="15111" width="14" style="1" customWidth="1"/>
    <col min="15112" max="15112" width="16.28515625" style="1" customWidth="1"/>
    <col min="15113" max="15113" width="15" style="1" customWidth="1"/>
    <col min="15114" max="15114" width="11.85546875" style="1" customWidth="1"/>
    <col min="15115" max="15115" width="14.7109375" style="1" customWidth="1"/>
    <col min="15116" max="15116" width="12.140625" style="1" customWidth="1"/>
    <col min="15117" max="15360" width="9.140625" style="1"/>
    <col min="15361" max="15361" width="5.140625" style="1" customWidth="1"/>
    <col min="15362" max="15362" width="10.85546875" style="1" customWidth="1"/>
    <col min="15363" max="15363" width="34.7109375" style="1" customWidth="1"/>
    <col min="15364" max="15364" width="8" style="1" customWidth="1"/>
    <col min="15365" max="15365" width="15.85546875" style="1" customWidth="1"/>
    <col min="15366" max="15367" width="14" style="1" customWidth="1"/>
    <col min="15368" max="15368" width="16.28515625" style="1" customWidth="1"/>
    <col min="15369" max="15369" width="15" style="1" customWidth="1"/>
    <col min="15370" max="15370" width="11.85546875" style="1" customWidth="1"/>
    <col min="15371" max="15371" width="14.7109375" style="1" customWidth="1"/>
    <col min="15372" max="15372" width="12.140625" style="1" customWidth="1"/>
    <col min="15373" max="15616" width="9.140625" style="1"/>
    <col min="15617" max="15617" width="5.140625" style="1" customWidth="1"/>
    <col min="15618" max="15618" width="10.85546875" style="1" customWidth="1"/>
    <col min="15619" max="15619" width="34.7109375" style="1" customWidth="1"/>
    <col min="15620" max="15620" width="8" style="1" customWidth="1"/>
    <col min="15621" max="15621" width="15.85546875" style="1" customWidth="1"/>
    <col min="15622" max="15623" width="14" style="1" customWidth="1"/>
    <col min="15624" max="15624" width="16.28515625" style="1" customWidth="1"/>
    <col min="15625" max="15625" width="15" style="1" customWidth="1"/>
    <col min="15626" max="15626" width="11.85546875" style="1" customWidth="1"/>
    <col min="15627" max="15627" width="14.7109375" style="1" customWidth="1"/>
    <col min="15628" max="15628" width="12.140625" style="1" customWidth="1"/>
    <col min="15629" max="15872" width="9.140625" style="1"/>
    <col min="15873" max="15873" width="5.140625" style="1" customWidth="1"/>
    <col min="15874" max="15874" width="10.85546875" style="1" customWidth="1"/>
    <col min="15875" max="15875" width="34.7109375" style="1" customWidth="1"/>
    <col min="15876" max="15876" width="8" style="1" customWidth="1"/>
    <col min="15877" max="15877" width="15.85546875" style="1" customWidth="1"/>
    <col min="15878" max="15879" width="14" style="1" customWidth="1"/>
    <col min="15880" max="15880" width="16.28515625" style="1" customWidth="1"/>
    <col min="15881" max="15881" width="15" style="1" customWidth="1"/>
    <col min="15882" max="15882" width="11.85546875" style="1" customWidth="1"/>
    <col min="15883" max="15883" width="14.7109375" style="1" customWidth="1"/>
    <col min="15884" max="15884" width="12.140625" style="1" customWidth="1"/>
    <col min="15885" max="16128" width="9.140625" style="1"/>
    <col min="16129" max="16129" width="5.140625" style="1" customWidth="1"/>
    <col min="16130" max="16130" width="10.85546875" style="1" customWidth="1"/>
    <col min="16131" max="16131" width="34.7109375" style="1" customWidth="1"/>
    <col min="16132" max="16132" width="8" style="1" customWidth="1"/>
    <col min="16133" max="16133" width="15.85546875" style="1" customWidth="1"/>
    <col min="16134" max="16135" width="14" style="1" customWidth="1"/>
    <col min="16136" max="16136" width="16.28515625" style="1" customWidth="1"/>
    <col min="16137" max="16137" width="15" style="1" customWidth="1"/>
    <col min="16138" max="16138" width="11.85546875" style="1" customWidth="1"/>
    <col min="16139" max="16139" width="14.7109375" style="1" customWidth="1"/>
    <col min="16140" max="16140" width="12.140625" style="1" customWidth="1"/>
    <col min="16141" max="16384" width="9.140625" style="1"/>
  </cols>
  <sheetData>
    <row r="1" spans="1:12" ht="13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 customHeight="1" x14ac:dyDescent="0.2">
      <c r="A2" s="2"/>
      <c r="B2" s="2"/>
      <c r="C2" s="2"/>
      <c r="D2" s="2"/>
      <c r="E2" s="3"/>
      <c r="F2" s="4"/>
      <c r="G2" s="4"/>
      <c r="H2" s="3"/>
      <c r="I2" s="3"/>
      <c r="J2" s="3"/>
      <c r="K2" s="3"/>
      <c r="L2" s="5" t="s">
        <v>1</v>
      </c>
    </row>
    <row r="3" spans="1:12" ht="13.5" customHeight="1" x14ac:dyDescent="0.2">
      <c r="A3" s="40" t="s">
        <v>2</v>
      </c>
      <c r="B3" s="41" t="s">
        <v>3</v>
      </c>
      <c r="C3" s="40" t="s">
        <v>4</v>
      </c>
      <c r="D3" s="40" t="s">
        <v>5</v>
      </c>
      <c r="E3" s="43" t="s">
        <v>6</v>
      </c>
      <c r="F3" s="43" t="s">
        <v>7</v>
      </c>
      <c r="G3" s="43"/>
      <c r="H3" s="43"/>
      <c r="I3" s="43" t="s">
        <v>8</v>
      </c>
      <c r="J3" s="7" t="s">
        <v>7</v>
      </c>
      <c r="K3" s="43" t="s">
        <v>9</v>
      </c>
      <c r="L3" s="43" t="s">
        <v>10</v>
      </c>
    </row>
    <row r="4" spans="1:12" ht="69.75" customHeight="1" x14ac:dyDescent="0.2">
      <c r="A4" s="40"/>
      <c r="B4" s="42"/>
      <c r="C4" s="40"/>
      <c r="D4" s="40"/>
      <c r="E4" s="43"/>
      <c r="F4" s="7" t="s">
        <v>11</v>
      </c>
      <c r="G4" s="7" t="s">
        <v>12</v>
      </c>
      <c r="H4" s="7" t="s">
        <v>13</v>
      </c>
      <c r="I4" s="43"/>
      <c r="J4" s="7" t="s">
        <v>11</v>
      </c>
      <c r="K4" s="43"/>
      <c r="L4" s="43"/>
    </row>
    <row r="5" spans="1:12" ht="13.5" customHeight="1" x14ac:dyDescent="0.2">
      <c r="A5" s="6">
        <v>1</v>
      </c>
      <c r="B5" s="8">
        <v>2</v>
      </c>
      <c r="C5" s="6">
        <v>3</v>
      </c>
      <c r="D5" s="6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</row>
    <row r="6" spans="1:12" ht="13.5" customHeight="1" x14ac:dyDescent="0.2">
      <c r="A6" s="9">
        <v>1</v>
      </c>
      <c r="B6" s="10" t="s">
        <v>14</v>
      </c>
      <c r="C6" s="11" t="s">
        <v>15</v>
      </c>
      <c r="D6" s="12" t="s">
        <v>16</v>
      </c>
      <c r="E6" s="14">
        <v>15637055</v>
      </c>
      <c r="F6" s="14"/>
      <c r="G6" s="14"/>
      <c r="H6" s="13">
        <f t="shared" ref="H6:H52" si="0">E6-F6-G6</f>
        <v>15637055</v>
      </c>
      <c r="I6" s="13"/>
      <c r="J6" s="13"/>
      <c r="K6" s="13">
        <f t="shared" ref="K6:K52" si="1">E6+I6</f>
        <v>15637055</v>
      </c>
      <c r="L6" s="14"/>
    </row>
    <row r="7" spans="1:12" ht="13.5" customHeight="1" x14ac:dyDescent="0.2">
      <c r="A7" s="9">
        <v>2</v>
      </c>
      <c r="B7" s="10" t="s">
        <v>17</v>
      </c>
      <c r="C7" s="11" t="s">
        <v>18</v>
      </c>
      <c r="D7" s="12" t="s">
        <v>16</v>
      </c>
      <c r="E7" s="14">
        <v>18059176</v>
      </c>
      <c r="F7" s="14"/>
      <c r="G7" s="14"/>
      <c r="H7" s="13">
        <f t="shared" si="0"/>
        <v>18059176</v>
      </c>
      <c r="I7" s="13"/>
      <c r="J7" s="13"/>
      <c r="K7" s="13">
        <f t="shared" si="1"/>
        <v>18059176</v>
      </c>
      <c r="L7" s="14"/>
    </row>
    <row r="8" spans="1:12" ht="13.5" customHeight="1" x14ac:dyDescent="0.2">
      <c r="A8" s="9">
        <v>3</v>
      </c>
      <c r="B8" s="15" t="s">
        <v>19</v>
      </c>
      <c r="C8" s="11" t="s">
        <v>20</v>
      </c>
      <c r="D8" s="12" t="s">
        <v>16</v>
      </c>
      <c r="E8" s="14">
        <v>47993406</v>
      </c>
      <c r="F8" s="14"/>
      <c r="G8" s="14"/>
      <c r="H8" s="13">
        <f t="shared" si="0"/>
        <v>47993406</v>
      </c>
      <c r="I8" s="13"/>
      <c r="J8" s="13"/>
      <c r="K8" s="13">
        <f t="shared" si="1"/>
        <v>47993406</v>
      </c>
      <c r="L8" s="14"/>
    </row>
    <row r="9" spans="1:12" ht="13.5" customHeight="1" x14ac:dyDescent="0.2">
      <c r="A9" s="9">
        <v>4</v>
      </c>
      <c r="B9" s="16" t="s">
        <v>21</v>
      </c>
      <c r="C9" s="11" t="s">
        <v>22</v>
      </c>
      <c r="D9" s="12" t="s">
        <v>16</v>
      </c>
      <c r="E9" s="14">
        <v>31457043</v>
      </c>
      <c r="F9" s="14"/>
      <c r="G9" s="14"/>
      <c r="H9" s="13">
        <f t="shared" si="0"/>
        <v>31457043</v>
      </c>
      <c r="I9" s="13"/>
      <c r="J9" s="13"/>
      <c r="K9" s="13">
        <f t="shared" si="1"/>
        <v>31457043</v>
      </c>
      <c r="L9" s="14"/>
    </row>
    <row r="10" spans="1:12" ht="13.5" customHeight="1" x14ac:dyDescent="0.2">
      <c r="A10" s="9">
        <v>5</v>
      </c>
      <c r="B10" s="15" t="s">
        <v>23</v>
      </c>
      <c r="C10" s="11" t="s">
        <v>24</v>
      </c>
      <c r="D10" s="12" t="s">
        <v>16</v>
      </c>
      <c r="E10" s="14">
        <v>68288587</v>
      </c>
      <c r="F10" s="14"/>
      <c r="G10" s="14"/>
      <c r="H10" s="13">
        <f t="shared" si="0"/>
        <v>68288587</v>
      </c>
      <c r="I10" s="13"/>
      <c r="J10" s="13"/>
      <c r="K10" s="13">
        <f t="shared" si="1"/>
        <v>68288587</v>
      </c>
      <c r="L10" s="14"/>
    </row>
    <row r="11" spans="1:12" ht="13.5" customHeight="1" x14ac:dyDescent="0.2">
      <c r="A11" s="9">
        <v>6</v>
      </c>
      <c r="B11" s="10" t="s">
        <v>25</v>
      </c>
      <c r="C11" s="11" t="s">
        <v>26</v>
      </c>
      <c r="D11" s="12" t="s">
        <v>16</v>
      </c>
      <c r="E11" s="14">
        <v>47476627</v>
      </c>
      <c r="F11" s="14"/>
      <c r="G11" s="14"/>
      <c r="H11" s="13">
        <f t="shared" si="0"/>
        <v>47476627</v>
      </c>
      <c r="I11" s="13"/>
      <c r="J11" s="13"/>
      <c r="K11" s="13">
        <f t="shared" si="1"/>
        <v>47476627</v>
      </c>
      <c r="L11" s="14"/>
    </row>
    <row r="12" spans="1:12" ht="13.5" customHeight="1" x14ac:dyDescent="0.2">
      <c r="A12" s="9">
        <v>7</v>
      </c>
      <c r="B12" s="15" t="s">
        <v>27</v>
      </c>
      <c r="C12" s="11" t="s">
        <v>28</v>
      </c>
      <c r="D12" s="12" t="s">
        <v>16</v>
      </c>
      <c r="E12" s="14">
        <f>124531170-98165</f>
        <v>124433005</v>
      </c>
      <c r="F12" s="14"/>
      <c r="G12" s="14"/>
      <c r="H12" s="13">
        <f t="shared" si="0"/>
        <v>124433005</v>
      </c>
      <c r="I12" s="13"/>
      <c r="J12" s="13"/>
      <c r="K12" s="13">
        <f t="shared" si="1"/>
        <v>124433005</v>
      </c>
      <c r="L12" s="14"/>
    </row>
    <row r="13" spans="1:12" ht="13.5" customHeight="1" x14ac:dyDescent="0.2">
      <c r="A13" s="9">
        <v>8</v>
      </c>
      <c r="B13" s="10" t="s">
        <v>29</v>
      </c>
      <c r="C13" s="11" t="s">
        <v>30</v>
      </c>
      <c r="D13" s="12" t="s">
        <v>16</v>
      </c>
      <c r="E13" s="14">
        <f>55842220-270635</f>
        <v>55571585</v>
      </c>
      <c r="F13" s="14">
        <f>214154-214154</f>
        <v>0</v>
      </c>
      <c r="G13" s="14"/>
      <c r="H13" s="13">
        <f t="shared" si="0"/>
        <v>55571585</v>
      </c>
      <c r="I13" s="13"/>
      <c r="J13" s="13"/>
      <c r="K13" s="13">
        <f t="shared" si="1"/>
        <v>55571585</v>
      </c>
      <c r="L13" s="14"/>
    </row>
    <row r="14" spans="1:12" ht="13.5" customHeight="1" x14ac:dyDescent="0.2">
      <c r="A14" s="9">
        <v>9</v>
      </c>
      <c r="B14" s="16" t="s">
        <v>31</v>
      </c>
      <c r="C14" s="11" t="s">
        <v>32</v>
      </c>
      <c r="D14" s="12" t="s">
        <v>16</v>
      </c>
      <c r="E14" s="14">
        <v>34943288</v>
      </c>
      <c r="F14" s="14">
        <v>71385</v>
      </c>
      <c r="G14" s="14"/>
      <c r="H14" s="13">
        <f t="shared" si="0"/>
        <v>34871903</v>
      </c>
      <c r="I14" s="13"/>
      <c r="J14" s="13"/>
      <c r="K14" s="13">
        <f t="shared" si="1"/>
        <v>34943288</v>
      </c>
      <c r="L14" s="14"/>
    </row>
    <row r="15" spans="1:12" ht="13.5" customHeight="1" x14ac:dyDescent="0.2">
      <c r="A15" s="9">
        <v>10</v>
      </c>
      <c r="B15" s="15" t="s">
        <v>33</v>
      </c>
      <c r="C15" s="11" t="s">
        <v>34</v>
      </c>
      <c r="D15" s="12" t="s">
        <v>16</v>
      </c>
      <c r="E15" s="14">
        <f>30260400-42186</f>
        <v>30218214</v>
      </c>
      <c r="F15" s="14"/>
      <c r="G15" s="14"/>
      <c r="H15" s="13">
        <f t="shared" si="0"/>
        <v>30218214</v>
      </c>
      <c r="I15" s="13"/>
      <c r="J15" s="13"/>
      <c r="K15" s="13">
        <f t="shared" si="1"/>
        <v>30218214</v>
      </c>
      <c r="L15" s="14"/>
    </row>
    <row r="16" spans="1:12" ht="13.5" customHeight="1" x14ac:dyDescent="0.2">
      <c r="A16" s="9">
        <v>11</v>
      </c>
      <c r="B16" s="17" t="s">
        <v>35</v>
      </c>
      <c r="C16" s="11" t="s">
        <v>36</v>
      </c>
      <c r="D16" s="12" t="s">
        <v>16</v>
      </c>
      <c r="E16" s="14">
        <f>40406867-52626</f>
        <v>40354241</v>
      </c>
      <c r="F16" s="14"/>
      <c r="G16" s="14"/>
      <c r="H16" s="13">
        <f t="shared" si="0"/>
        <v>40354241</v>
      </c>
      <c r="I16" s="13"/>
      <c r="J16" s="13"/>
      <c r="K16" s="13">
        <f t="shared" si="1"/>
        <v>40354241</v>
      </c>
      <c r="L16" s="14"/>
    </row>
    <row r="17" spans="1:12" ht="13.5" customHeight="1" x14ac:dyDescent="0.2">
      <c r="A17" s="9">
        <v>12</v>
      </c>
      <c r="B17" s="15" t="s">
        <v>37</v>
      </c>
      <c r="C17" s="11" t="s">
        <v>38</v>
      </c>
      <c r="D17" s="12" t="s">
        <v>16</v>
      </c>
      <c r="E17" s="14">
        <v>94934343</v>
      </c>
      <c r="F17" s="14"/>
      <c r="G17" s="14"/>
      <c r="H17" s="13">
        <f t="shared" si="0"/>
        <v>94934343</v>
      </c>
      <c r="I17" s="13"/>
      <c r="J17" s="13"/>
      <c r="K17" s="13">
        <f t="shared" si="1"/>
        <v>94934343</v>
      </c>
      <c r="L17" s="14"/>
    </row>
    <row r="18" spans="1:12" ht="13.5" customHeight="1" x14ac:dyDescent="0.2">
      <c r="A18" s="9">
        <v>13</v>
      </c>
      <c r="B18" s="16" t="s">
        <v>39</v>
      </c>
      <c r="C18" s="11" t="s">
        <v>40</v>
      </c>
      <c r="D18" s="12" t="s">
        <v>16</v>
      </c>
      <c r="E18" s="14">
        <f>44686770-34022</f>
        <v>44652748</v>
      </c>
      <c r="F18" s="14"/>
      <c r="G18" s="14"/>
      <c r="H18" s="13">
        <f t="shared" si="0"/>
        <v>44652748</v>
      </c>
      <c r="I18" s="13"/>
      <c r="J18" s="13"/>
      <c r="K18" s="13">
        <f t="shared" si="1"/>
        <v>44652748</v>
      </c>
      <c r="L18" s="14"/>
    </row>
    <row r="19" spans="1:12" ht="13.5" customHeight="1" x14ac:dyDescent="0.2">
      <c r="A19" s="9">
        <v>14</v>
      </c>
      <c r="B19" s="16" t="s">
        <v>41</v>
      </c>
      <c r="C19" s="11" t="s">
        <v>42</v>
      </c>
      <c r="D19" s="12" t="s">
        <v>16</v>
      </c>
      <c r="E19" s="14">
        <v>65985363</v>
      </c>
      <c r="F19" s="13">
        <f>71385-71385</f>
        <v>0</v>
      </c>
      <c r="G19" s="14"/>
      <c r="H19" s="13">
        <f t="shared" si="0"/>
        <v>65985363</v>
      </c>
      <c r="I19" s="13"/>
      <c r="J19" s="13"/>
      <c r="K19" s="13">
        <f t="shared" si="1"/>
        <v>65985363</v>
      </c>
      <c r="L19" s="14"/>
    </row>
    <row r="20" spans="1:12" ht="13.5" customHeight="1" x14ac:dyDescent="0.2">
      <c r="A20" s="9">
        <v>15</v>
      </c>
      <c r="B20" s="10" t="s">
        <v>43</v>
      </c>
      <c r="C20" s="11" t="s">
        <v>44</v>
      </c>
      <c r="D20" s="12" t="s">
        <v>16</v>
      </c>
      <c r="E20" s="14">
        <v>40452507</v>
      </c>
      <c r="F20" s="14">
        <v>131769</v>
      </c>
      <c r="G20" s="14"/>
      <c r="H20" s="13">
        <f t="shared" si="0"/>
        <v>40320738</v>
      </c>
      <c r="I20" s="13"/>
      <c r="J20" s="13"/>
      <c r="K20" s="13">
        <f t="shared" si="1"/>
        <v>40452507</v>
      </c>
      <c r="L20" s="14"/>
    </row>
    <row r="21" spans="1:12" ht="13.5" customHeight="1" x14ac:dyDescent="0.2">
      <c r="A21" s="9">
        <v>16</v>
      </c>
      <c r="B21" s="10" t="s">
        <v>45</v>
      </c>
      <c r="C21" s="11" t="s">
        <v>46</v>
      </c>
      <c r="D21" s="12" t="s">
        <v>16</v>
      </c>
      <c r="E21" s="14">
        <v>28555966</v>
      </c>
      <c r="F21" s="14"/>
      <c r="G21" s="14"/>
      <c r="H21" s="13">
        <f t="shared" si="0"/>
        <v>28555966</v>
      </c>
      <c r="I21" s="13"/>
      <c r="J21" s="13"/>
      <c r="K21" s="13">
        <f t="shared" si="1"/>
        <v>28555966</v>
      </c>
      <c r="L21" s="14"/>
    </row>
    <row r="22" spans="1:12" ht="13.5" customHeight="1" x14ac:dyDescent="0.2">
      <c r="A22" s="9">
        <v>17</v>
      </c>
      <c r="B22" s="10" t="s">
        <v>47</v>
      </c>
      <c r="C22" s="11" t="s">
        <v>48</v>
      </c>
      <c r="D22" s="12" t="s">
        <v>16</v>
      </c>
      <c r="E22" s="14">
        <v>43641978</v>
      </c>
      <c r="F22" s="14"/>
      <c r="G22" s="14"/>
      <c r="H22" s="13">
        <f t="shared" si="0"/>
        <v>43641978</v>
      </c>
      <c r="I22" s="13"/>
      <c r="J22" s="13"/>
      <c r="K22" s="13">
        <f t="shared" si="1"/>
        <v>43641978</v>
      </c>
      <c r="L22" s="14"/>
    </row>
    <row r="23" spans="1:12" ht="13.5" customHeight="1" x14ac:dyDescent="0.2">
      <c r="A23" s="9">
        <v>18</v>
      </c>
      <c r="B23" s="15" t="s">
        <v>49</v>
      </c>
      <c r="C23" s="11" t="s">
        <v>50</v>
      </c>
      <c r="D23" s="12" t="s">
        <v>16</v>
      </c>
      <c r="E23" s="14">
        <v>60372508</v>
      </c>
      <c r="F23" s="14"/>
      <c r="G23" s="14"/>
      <c r="H23" s="13">
        <f t="shared" si="0"/>
        <v>60372508</v>
      </c>
      <c r="I23" s="13"/>
      <c r="J23" s="13"/>
      <c r="K23" s="13">
        <f t="shared" si="1"/>
        <v>60372508</v>
      </c>
      <c r="L23" s="14"/>
    </row>
    <row r="24" spans="1:12" ht="13.5" customHeight="1" x14ac:dyDescent="0.2">
      <c r="A24" s="9">
        <v>19</v>
      </c>
      <c r="B24" s="16" t="s">
        <v>51</v>
      </c>
      <c r="C24" s="11" t="s">
        <v>52</v>
      </c>
      <c r="D24" s="12" t="s">
        <v>16</v>
      </c>
      <c r="E24" s="14">
        <v>75186462</v>
      </c>
      <c r="F24" s="14"/>
      <c r="G24" s="14"/>
      <c r="H24" s="13">
        <f t="shared" si="0"/>
        <v>75186462</v>
      </c>
      <c r="I24" s="13"/>
      <c r="J24" s="13"/>
      <c r="K24" s="13">
        <f t="shared" si="1"/>
        <v>75186462</v>
      </c>
      <c r="L24" s="14"/>
    </row>
    <row r="25" spans="1:12" ht="13.5" customHeight="1" x14ac:dyDescent="0.2">
      <c r="A25" s="9">
        <v>20</v>
      </c>
      <c r="B25" s="15" t="s">
        <v>53</v>
      </c>
      <c r="C25" s="11" t="s">
        <v>54</v>
      </c>
      <c r="D25" s="12" t="s">
        <v>16</v>
      </c>
      <c r="E25" s="14">
        <v>30239430</v>
      </c>
      <c r="F25" s="14"/>
      <c r="G25" s="14"/>
      <c r="H25" s="13">
        <f t="shared" si="0"/>
        <v>30239430</v>
      </c>
      <c r="I25" s="13"/>
      <c r="J25" s="13"/>
      <c r="K25" s="13">
        <f t="shared" si="1"/>
        <v>30239430</v>
      </c>
      <c r="L25" s="14"/>
    </row>
    <row r="26" spans="1:12" ht="13.5" customHeight="1" x14ac:dyDescent="0.2">
      <c r="A26" s="9">
        <v>21</v>
      </c>
      <c r="B26" s="10" t="s">
        <v>55</v>
      </c>
      <c r="C26" s="11" t="s">
        <v>56</v>
      </c>
      <c r="D26" s="12" t="s">
        <v>16</v>
      </c>
      <c r="E26" s="14">
        <v>25777156</v>
      </c>
      <c r="F26" s="14"/>
      <c r="G26" s="14"/>
      <c r="H26" s="13">
        <f t="shared" si="0"/>
        <v>25777156</v>
      </c>
      <c r="I26" s="13"/>
      <c r="J26" s="13"/>
      <c r="K26" s="13">
        <f t="shared" si="1"/>
        <v>25777156</v>
      </c>
      <c r="L26" s="14"/>
    </row>
    <row r="27" spans="1:12" ht="13.5" customHeight="1" x14ac:dyDescent="0.2">
      <c r="A27" s="9">
        <v>22</v>
      </c>
      <c r="B27" s="10" t="s">
        <v>57</v>
      </c>
      <c r="C27" s="11" t="s">
        <v>58</v>
      </c>
      <c r="D27" s="12" t="s">
        <v>16</v>
      </c>
      <c r="E27" s="14">
        <v>77410671</v>
      </c>
      <c r="F27" s="14"/>
      <c r="G27" s="14"/>
      <c r="H27" s="13">
        <f t="shared" si="0"/>
        <v>77410671</v>
      </c>
      <c r="I27" s="13"/>
      <c r="J27" s="13"/>
      <c r="K27" s="13">
        <f t="shared" si="1"/>
        <v>77410671</v>
      </c>
      <c r="L27" s="14"/>
    </row>
    <row r="28" spans="1:12" ht="13.5" customHeight="1" x14ac:dyDescent="0.2">
      <c r="A28" s="9">
        <v>23</v>
      </c>
      <c r="B28" s="16" t="s">
        <v>59</v>
      </c>
      <c r="C28" s="11" t="s">
        <v>60</v>
      </c>
      <c r="D28" s="12" t="s">
        <v>16</v>
      </c>
      <c r="E28" s="14">
        <f>46756928-71385</f>
        <v>46685543</v>
      </c>
      <c r="F28" s="14">
        <f>71385-71385</f>
        <v>0</v>
      </c>
      <c r="G28" s="14"/>
      <c r="H28" s="13">
        <f t="shared" si="0"/>
        <v>46685543</v>
      </c>
      <c r="I28" s="13"/>
      <c r="J28" s="13"/>
      <c r="K28" s="13">
        <f t="shared" si="1"/>
        <v>46685543</v>
      </c>
      <c r="L28" s="14"/>
    </row>
    <row r="29" spans="1:12" ht="13.5" customHeight="1" x14ac:dyDescent="0.2">
      <c r="A29" s="9">
        <v>24</v>
      </c>
      <c r="B29" s="15" t="s">
        <v>61</v>
      </c>
      <c r="C29" s="11" t="s">
        <v>62</v>
      </c>
      <c r="D29" s="12" t="s">
        <v>16</v>
      </c>
      <c r="E29" s="14">
        <v>36847459</v>
      </c>
      <c r="F29" s="14"/>
      <c r="G29" s="14"/>
      <c r="H29" s="13">
        <f t="shared" si="0"/>
        <v>36847459</v>
      </c>
      <c r="I29" s="13"/>
      <c r="J29" s="13"/>
      <c r="K29" s="13">
        <f t="shared" si="1"/>
        <v>36847459</v>
      </c>
      <c r="L29" s="14"/>
    </row>
    <row r="30" spans="1:12" ht="13.5" customHeight="1" x14ac:dyDescent="0.2">
      <c r="A30" s="9">
        <v>25</v>
      </c>
      <c r="B30" s="15" t="s">
        <v>63</v>
      </c>
      <c r="C30" s="11" t="s">
        <v>64</v>
      </c>
      <c r="D30" s="12" t="s">
        <v>16</v>
      </c>
      <c r="E30" s="14">
        <v>56211689</v>
      </c>
      <c r="F30" s="14"/>
      <c r="G30" s="14"/>
      <c r="H30" s="13">
        <f t="shared" si="0"/>
        <v>56211689</v>
      </c>
      <c r="I30" s="13"/>
      <c r="J30" s="13"/>
      <c r="K30" s="13">
        <f t="shared" si="1"/>
        <v>56211689</v>
      </c>
      <c r="L30" s="14"/>
    </row>
    <row r="31" spans="1:12" ht="13.5" customHeight="1" x14ac:dyDescent="0.2">
      <c r="A31" s="9">
        <v>26</v>
      </c>
      <c r="B31" s="10" t="s">
        <v>65</v>
      </c>
      <c r="C31" s="11" t="s">
        <v>66</v>
      </c>
      <c r="D31" s="12" t="s">
        <v>16</v>
      </c>
      <c r="E31" s="14">
        <f>86073270-152816</f>
        <v>85920454</v>
      </c>
      <c r="F31" s="14"/>
      <c r="G31" s="14"/>
      <c r="H31" s="13">
        <f t="shared" si="0"/>
        <v>85920454</v>
      </c>
      <c r="I31" s="13"/>
      <c r="J31" s="13"/>
      <c r="K31" s="13">
        <f t="shared" si="1"/>
        <v>85920454</v>
      </c>
      <c r="L31" s="14"/>
    </row>
    <row r="32" spans="1:12" ht="13.5" customHeight="1" x14ac:dyDescent="0.2">
      <c r="A32" s="9">
        <v>27</v>
      </c>
      <c r="B32" s="15" t="s">
        <v>67</v>
      </c>
      <c r="C32" s="11" t="s">
        <v>68</v>
      </c>
      <c r="D32" s="12" t="s">
        <v>16</v>
      </c>
      <c r="E32" s="14">
        <v>27668080</v>
      </c>
      <c r="F32" s="14"/>
      <c r="G32" s="14"/>
      <c r="H32" s="13">
        <f t="shared" si="0"/>
        <v>27668080</v>
      </c>
      <c r="I32" s="13"/>
      <c r="J32" s="13"/>
      <c r="K32" s="13">
        <f t="shared" si="1"/>
        <v>27668080</v>
      </c>
      <c r="L32" s="14"/>
    </row>
    <row r="33" spans="1:12" ht="13.5" customHeight="1" x14ac:dyDescent="0.2">
      <c r="A33" s="9">
        <v>28</v>
      </c>
      <c r="B33" s="15" t="s">
        <v>69</v>
      </c>
      <c r="C33" s="11" t="s">
        <v>70</v>
      </c>
      <c r="D33" s="12" t="s">
        <v>16</v>
      </c>
      <c r="E33" s="14">
        <v>36814505</v>
      </c>
      <c r="F33" s="14"/>
      <c r="G33" s="14"/>
      <c r="H33" s="13">
        <f t="shared" si="0"/>
        <v>36814505</v>
      </c>
      <c r="I33" s="13"/>
      <c r="J33" s="13"/>
      <c r="K33" s="13">
        <f t="shared" si="1"/>
        <v>36814505</v>
      </c>
      <c r="L33" s="14"/>
    </row>
    <row r="34" spans="1:12" ht="13.5" customHeight="1" x14ac:dyDescent="0.2">
      <c r="A34" s="9">
        <v>29</v>
      </c>
      <c r="B34" s="16" t="s">
        <v>71</v>
      </c>
      <c r="C34" s="11" t="s">
        <v>72</v>
      </c>
      <c r="D34" s="12" t="s">
        <v>16</v>
      </c>
      <c r="E34" s="14">
        <v>54645062</v>
      </c>
      <c r="F34" s="14"/>
      <c r="G34" s="14"/>
      <c r="H34" s="13">
        <f t="shared" si="0"/>
        <v>54645062</v>
      </c>
      <c r="I34" s="13"/>
      <c r="J34" s="13"/>
      <c r="K34" s="13">
        <f t="shared" si="1"/>
        <v>54645062</v>
      </c>
      <c r="L34" s="14"/>
    </row>
    <row r="35" spans="1:12" ht="13.5" customHeight="1" x14ac:dyDescent="0.2">
      <c r="A35" s="9">
        <v>30</v>
      </c>
      <c r="B35" s="10" t="s">
        <v>73</v>
      </c>
      <c r="C35" s="11" t="s">
        <v>74</v>
      </c>
      <c r="D35" s="12" t="s">
        <v>16</v>
      </c>
      <c r="E35" s="14">
        <v>39738425</v>
      </c>
      <c r="F35" s="14"/>
      <c r="G35" s="14"/>
      <c r="H35" s="13">
        <f t="shared" si="0"/>
        <v>39738425</v>
      </c>
      <c r="I35" s="13"/>
      <c r="J35" s="13"/>
      <c r="K35" s="13">
        <f t="shared" si="1"/>
        <v>39738425</v>
      </c>
      <c r="L35" s="14"/>
    </row>
    <row r="36" spans="1:12" ht="13.5" customHeight="1" x14ac:dyDescent="0.2">
      <c r="A36" s="9">
        <v>31</v>
      </c>
      <c r="B36" s="10" t="s">
        <v>75</v>
      </c>
      <c r="C36" s="11" t="s">
        <v>76</v>
      </c>
      <c r="D36" s="12" t="s">
        <v>16</v>
      </c>
      <c r="E36" s="14">
        <v>71042588</v>
      </c>
      <c r="F36" s="14">
        <v>704860</v>
      </c>
      <c r="G36" s="14"/>
      <c r="H36" s="13">
        <f t="shared" si="0"/>
        <v>70337728</v>
      </c>
      <c r="I36" s="13"/>
      <c r="J36" s="13"/>
      <c r="K36" s="13">
        <f t="shared" si="1"/>
        <v>71042588</v>
      </c>
      <c r="L36" s="14"/>
    </row>
    <row r="37" spans="1:12" ht="13.5" customHeight="1" x14ac:dyDescent="0.2">
      <c r="A37" s="9">
        <v>32</v>
      </c>
      <c r="B37" s="15" t="s">
        <v>77</v>
      </c>
      <c r="C37" s="11" t="s">
        <v>78</v>
      </c>
      <c r="D37" s="12" t="s">
        <v>16</v>
      </c>
      <c r="E37" s="14">
        <v>45651611</v>
      </c>
      <c r="F37" s="14">
        <v>0</v>
      </c>
      <c r="G37" s="14">
        <v>0</v>
      </c>
      <c r="H37" s="13">
        <f t="shared" si="0"/>
        <v>45651611</v>
      </c>
      <c r="I37" s="13"/>
      <c r="J37" s="13"/>
      <c r="K37" s="13">
        <f t="shared" si="1"/>
        <v>45651611</v>
      </c>
      <c r="L37" s="14"/>
    </row>
    <row r="38" spans="1:12" ht="13.5" customHeight="1" x14ac:dyDescent="0.2">
      <c r="A38" s="9">
        <v>33</v>
      </c>
      <c r="B38" s="16" t="s">
        <v>79</v>
      </c>
      <c r="C38" s="11" t="s">
        <v>80</v>
      </c>
      <c r="D38" s="12" t="s">
        <v>16</v>
      </c>
      <c r="E38" s="14">
        <v>48445915</v>
      </c>
      <c r="F38" s="14">
        <v>214154</v>
      </c>
      <c r="G38" s="14"/>
      <c r="H38" s="13">
        <f t="shared" si="0"/>
        <v>48231761</v>
      </c>
      <c r="I38" s="13"/>
      <c r="J38" s="13"/>
      <c r="K38" s="13">
        <f t="shared" si="1"/>
        <v>48445915</v>
      </c>
      <c r="L38" s="14"/>
    </row>
    <row r="39" spans="1:12" ht="13.5" customHeight="1" x14ac:dyDescent="0.2">
      <c r="A39" s="9">
        <v>34</v>
      </c>
      <c r="B39" s="19" t="s">
        <v>81</v>
      </c>
      <c r="C39" s="11" t="s">
        <v>82</v>
      </c>
      <c r="D39" s="12" t="s">
        <v>16</v>
      </c>
      <c r="E39" s="14">
        <v>51623778</v>
      </c>
      <c r="F39" s="14">
        <v>0</v>
      </c>
      <c r="G39" s="14"/>
      <c r="H39" s="13">
        <f t="shared" si="0"/>
        <v>51623778</v>
      </c>
      <c r="I39" s="13"/>
      <c r="J39" s="13"/>
      <c r="K39" s="13">
        <f t="shared" si="1"/>
        <v>51623778</v>
      </c>
      <c r="L39" s="14"/>
    </row>
    <row r="40" spans="1:12" ht="13.5" customHeight="1" x14ac:dyDescent="0.2">
      <c r="A40" s="9">
        <v>35</v>
      </c>
      <c r="B40" s="15" t="s">
        <v>83</v>
      </c>
      <c r="C40" s="11" t="s">
        <v>84</v>
      </c>
      <c r="D40" s="12" t="s">
        <v>16</v>
      </c>
      <c r="E40" s="14">
        <v>32104000</v>
      </c>
      <c r="F40" s="14">
        <v>71385</v>
      </c>
      <c r="G40" s="14"/>
      <c r="H40" s="13">
        <f t="shared" si="0"/>
        <v>32032615</v>
      </c>
      <c r="I40" s="13"/>
      <c r="J40" s="13"/>
      <c r="K40" s="13">
        <f t="shared" si="1"/>
        <v>32104000</v>
      </c>
      <c r="L40" s="14"/>
    </row>
    <row r="41" spans="1:12" ht="13.5" customHeight="1" x14ac:dyDescent="0.2">
      <c r="A41" s="9">
        <v>36</v>
      </c>
      <c r="B41" s="15" t="s">
        <v>85</v>
      </c>
      <c r="C41" s="11" t="s">
        <v>86</v>
      </c>
      <c r="D41" s="12" t="s">
        <v>16</v>
      </c>
      <c r="E41" s="14">
        <f>69775075-65964</f>
        <v>69709111</v>
      </c>
      <c r="F41" s="14"/>
      <c r="G41" s="14"/>
      <c r="H41" s="13">
        <f t="shared" si="0"/>
        <v>69709111</v>
      </c>
      <c r="I41" s="13"/>
      <c r="J41" s="13"/>
      <c r="K41" s="13">
        <f t="shared" si="1"/>
        <v>69709111</v>
      </c>
      <c r="L41" s="14"/>
    </row>
    <row r="42" spans="1:12" ht="13.5" customHeight="1" x14ac:dyDescent="0.2">
      <c r="A42" s="9">
        <v>37</v>
      </c>
      <c r="B42" s="10" t="s">
        <v>87</v>
      </c>
      <c r="C42" s="11" t="s">
        <v>88</v>
      </c>
      <c r="D42" s="12" t="s">
        <v>16</v>
      </c>
      <c r="E42" s="14">
        <v>35795177</v>
      </c>
      <c r="F42" s="14"/>
      <c r="G42" s="14"/>
      <c r="H42" s="13">
        <f t="shared" si="0"/>
        <v>35795177</v>
      </c>
      <c r="I42" s="13"/>
      <c r="J42" s="13"/>
      <c r="K42" s="13">
        <f t="shared" si="1"/>
        <v>35795177</v>
      </c>
      <c r="L42" s="14"/>
    </row>
    <row r="43" spans="1:12" ht="13.5" customHeight="1" x14ac:dyDescent="0.2">
      <c r="A43" s="9">
        <v>38</v>
      </c>
      <c r="B43" s="10" t="s">
        <v>89</v>
      </c>
      <c r="C43" s="11" t="s">
        <v>90</v>
      </c>
      <c r="D43" s="12" t="s">
        <v>16</v>
      </c>
      <c r="E43" s="14">
        <f>43806561-63168</f>
        <v>43743393</v>
      </c>
      <c r="F43" s="14"/>
      <c r="G43" s="14"/>
      <c r="H43" s="13">
        <f t="shared" si="0"/>
        <v>43743393</v>
      </c>
      <c r="I43" s="13"/>
      <c r="J43" s="13"/>
      <c r="K43" s="13">
        <f t="shared" si="1"/>
        <v>43743393</v>
      </c>
      <c r="L43" s="14"/>
    </row>
    <row r="44" spans="1:12" ht="13.5" customHeight="1" x14ac:dyDescent="0.2">
      <c r="A44" s="9">
        <v>39</v>
      </c>
      <c r="B44" s="15" t="s">
        <v>91</v>
      </c>
      <c r="C44" s="11" t="s">
        <v>92</v>
      </c>
      <c r="D44" s="12" t="s">
        <v>16</v>
      </c>
      <c r="E44" s="14">
        <v>24345716</v>
      </c>
      <c r="F44" s="14"/>
      <c r="G44" s="14"/>
      <c r="H44" s="13">
        <f t="shared" si="0"/>
        <v>24345716</v>
      </c>
      <c r="I44" s="13"/>
      <c r="J44" s="13"/>
      <c r="K44" s="13">
        <f t="shared" si="1"/>
        <v>24345716</v>
      </c>
      <c r="L44" s="14"/>
    </row>
    <row r="45" spans="1:12" ht="13.5" customHeight="1" x14ac:dyDescent="0.2">
      <c r="A45" s="9">
        <v>40</v>
      </c>
      <c r="B45" s="15" t="s">
        <v>93</v>
      </c>
      <c r="C45" s="11" t="s">
        <v>94</v>
      </c>
      <c r="D45" s="12" t="s">
        <v>16</v>
      </c>
      <c r="E45" s="14">
        <f>49861113-39320</f>
        <v>49821793</v>
      </c>
      <c r="F45" s="14">
        <f>39320-39320</f>
        <v>0</v>
      </c>
      <c r="G45" s="14"/>
      <c r="H45" s="13">
        <f t="shared" si="0"/>
        <v>49821793</v>
      </c>
      <c r="I45" s="13"/>
      <c r="J45" s="13"/>
      <c r="K45" s="13">
        <f t="shared" si="1"/>
        <v>49821793</v>
      </c>
      <c r="L45" s="14"/>
    </row>
    <row r="46" spans="1:12" ht="13.5" customHeight="1" x14ac:dyDescent="0.2">
      <c r="A46" s="9">
        <v>41</v>
      </c>
      <c r="B46" s="10" t="s">
        <v>95</v>
      </c>
      <c r="C46" s="11" t="s">
        <v>96</v>
      </c>
      <c r="D46" s="12" t="s">
        <v>16</v>
      </c>
      <c r="E46" s="14">
        <v>101279115</v>
      </c>
      <c r="F46" s="14"/>
      <c r="G46" s="14"/>
      <c r="H46" s="13">
        <f t="shared" si="0"/>
        <v>101279115</v>
      </c>
      <c r="I46" s="13"/>
      <c r="J46" s="13"/>
      <c r="K46" s="13">
        <f t="shared" si="1"/>
        <v>101279115</v>
      </c>
      <c r="L46" s="14"/>
    </row>
    <row r="47" spans="1:12" ht="13.5" customHeight="1" x14ac:dyDescent="0.2">
      <c r="A47" s="9">
        <v>42</v>
      </c>
      <c r="B47" s="15" t="s">
        <v>97</v>
      </c>
      <c r="C47" s="11" t="s">
        <v>98</v>
      </c>
      <c r="D47" s="12" t="s">
        <v>16</v>
      </c>
      <c r="E47" s="14">
        <f>48183173-101577</f>
        <v>48081596</v>
      </c>
      <c r="F47" s="14">
        <f>101577-101577</f>
        <v>0</v>
      </c>
      <c r="G47" s="14"/>
      <c r="H47" s="13">
        <f t="shared" si="0"/>
        <v>48081596</v>
      </c>
      <c r="I47" s="13"/>
      <c r="J47" s="13"/>
      <c r="K47" s="13">
        <f t="shared" si="1"/>
        <v>48081596</v>
      </c>
      <c r="L47" s="14"/>
    </row>
    <row r="48" spans="1:12" ht="13.5" customHeight="1" x14ac:dyDescent="0.2">
      <c r="A48" s="9">
        <v>43</v>
      </c>
      <c r="B48" s="16" t="s">
        <v>99</v>
      </c>
      <c r="C48" s="11" t="s">
        <v>100</v>
      </c>
      <c r="D48" s="12" t="s">
        <v>16</v>
      </c>
      <c r="E48" s="14">
        <v>34436760</v>
      </c>
      <c r="F48" s="14"/>
      <c r="G48" s="14"/>
      <c r="H48" s="13">
        <f t="shared" si="0"/>
        <v>34436760</v>
      </c>
      <c r="I48" s="13"/>
      <c r="J48" s="13"/>
      <c r="K48" s="13">
        <f t="shared" si="1"/>
        <v>34436760</v>
      </c>
      <c r="L48" s="14"/>
    </row>
    <row r="49" spans="1:12" ht="13.5" customHeight="1" x14ac:dyDescent="0.2">
      <c r="A49" s="9">
        <v>44</v>
      </c>
      <c r="B49" s="15" t="s">
        <v>101</v>
      </c>
      <c r="C49" s="11" t="s">
        <v>102</v>
      </c>
      <c r="D49" s="12" t="s">
        <v>16</v>
      </c>
      <c r="E49" s="14">
        <f>113599798+208022</f>
        <v>113807820</v>
      </c>
      <c r="F49" s="14"/>
      <c r="G49" s="14"/>
      <c r="H49" s="13">
        <f t="shared" si="0"/>
        <v>113807820</v>
      </c>
      <c r="I49" s="13"/>
      <c r="J49" s="13"/>
      <c r="K49" s="13">
        <f t="shared" si="1"/>
        <v>113807820</v>
      </c>
      <c r="L49" s="14"/>
    </row>
    <row r="50" spans="1:12" ht="13.5" customHeight="1" x14ac:dyDescent="0.2">
      <c r="A50" s="9">
        <v>45</v>
      </c>
      <c r="B50" s="10" t="s">
        <v>103</v>
      </c>
      <c r="C50" s="11" t="s">
        <v>104</v>
      </c>
      <c r="D50" s="12" t="s">
        <v>16</v>
      </c>
      <c r="E50" s="14">
        <v>16350061</v>
      </c>
      <c r="F50" s="14"/>
      <c r="G50" s="14"/>
      <c r="H50" s="13">
        <f t="shared" si="0"/>
        <v>16350061</v>
      </c>
      <c r="I50" s="13"/>
      <c r="J50" s="13"/>
      <c r="K50" s="13">
        <f t="shared" si="1"/>
        <v>16350061</v>
      </c>
      <c r="L50" s="14"/>
    </row>
    <row r="51" spans="1:12" ht="13.5" customHeight="1" x14ac:dyDescent="0.2">
      <c r="A51" s="9">
        <v>46</v>
      </c>
      <c r="B51" s="10" t="s">
        <v>105</v>
      </c>
      <c r="C51" s="11" t="s">
        <v>106</v>
      </c>
      <c r="D51" s="12" t="s">
        <v>107</v>
      </c>
      <c r="E51" s="14">
        <f>98876476+2272</f>
        <v>98878748</v>
      </c>
      <c r="F51" s="14"/>
      <c r="G51" s="14">
        <f>20082409+2272</f>
        <v>20084681</v>
      </c>
      <c r="H51" s="13">
        <f t="shared" si="0"/>
        <v>78794067</v>
      </c>
      <c r="I51" s="13"/>
      <c r="J51" s="13"/>
      <c r="K51" s="13">
        <f t="shared" si="1"/>
        <v>98878748</v>
      </c>
      <c r="L51" s="14"/>
    </row>
    <row r="52" spans="1:12" ht="13.5" customHeight="1" x14ac:dyDescent="0.2">
      <c r="A52" s="9">
        <v>47</v>
      </c>
      <c r="B52" s="15" t="s">
        <v>108</v>
      </c>
      <c r="C52" s="11" t="s">
        <v>109</v>
      </c>
      <c r="D52" s="12" t="s">
        <v>107</v>
      </c>
      <c r="E52" s="14">
        <v>88819653</v>
      </c>
      <c r="F52" s="14"/>
      <c r="G52" s="14"/>
      <c r="H52" s="13">
        <f t="shared" si="0"/>
        <v>88819653</v>
      </c>
      <c r="I52" s="13"/>
      <c r="J52" s="13"/>
      <c r="K52" s="13">
        <f t="shared" si="1"/>
        <v>88819653</v>
      </c>
      <c r="L52" s="14"/>
    </row>
    <row r="53" spans="1:12" ht="13.5" customHeight="1" x14ac:dyDescent="0.2">
      <c r="A53" s="9">
        <v>48</v>
      </c>
      <c r="B53" s="10" t="s">
        <v>110</v>
      </c>
      <c r="C53" s="11" t="s">
        <v>111</v>
      </c>
      <c r="D53" s="12" t="s">
        <v>107</v>
      </c>
      <c r="E53" s="14"/>
      <c r="F53" s="14"/>
      <c r="G53" s="14"/>
      <c r="H53" s="13"/>
      <c r="I53" s="13"/>
      <c r="J53" s="13"/>
      <c r="K53" s="13"/>
      <c r="L53" s="14">
        <v>99516965</v>
      </c>
    </row>
    <row r="54" spans="1:12" ht="13.5" customHeight="1" x14ac:dyDescent="0.2">
      <c r="A54" s="9">
        <v>49</v>
      </c>
      <c r="B54" s="15" t="s">
        <v>112</v>
      </c>
      <c r="C54" s="11" t="s">
        <v>113</v>
      </c>
      <c r="D54" s="12" t="s">
        <v>107</v>
      </c>
      <c r="E54" s="14"/>
      <c r="F54" s="14"/>
      <c r="G54" s="14"/>
      <c r="H54" s="13"/>
      <c r="I54" s="13"/>
      <c r="J54" s="13"/>
      <c r="K54" s="13"/>
      <c r="L54" s="14">
        <v>68229998</v>
      </c>
    </row>
    <row r="55" spans="1:12" ht="13.5" customHeight="1" x14ac:dyDescent="0.2">
      <c r="A55" s="9">
        <v>50</v>
      </c>
      <c r="B55" s="15" t="s">
        <v>114</v>
      </c>
      <c r="C55" s="11" t="s">
        <v>115</v>
      </c>
      <c r="D55" s="12" t="s">
        <v>107</v>
      </c>
      <c r="E55" s="14">
        <v>1232303416</v>
      </c>
      <c r="F55" s="14"/>
      <c r="G55" s="14"/>
      <c r="H55" s="13">
        <f t="shared" ref="H55:H68" si="2">E55-F55-G55</f>
        <v>1232303416</v>
      </c>
      <c r="I55" s="13"/>
      <c r="J55" s="13"/>
      <c r="K55" s="13">
        <f t="shared" ref="K55:K68" si="3">E55+I55</f>
        <v>1232303416</v>
      </c>
      <c r="L55" s="14"/>
    </row>
    <row r="56" spans="1:12" ht="13.5" customHeight="1" x14ac:dyDescent="0.2">
      <c r="A56" s="9">
        <v>51</v>
      </c>
      <c r="B56" s="15" t="s">
        <v>116</v>
      </c>
      <c r="C56" s="11" t="s">
        <v>117</v>
      </c>
      <c r="D56" s="12" t="s">
        <v>118</v>
      </c>
      <c r="E56" s="14">
        <v>63801</v>
      </c>
      <c r="F56" s="14"/>
      <c r="G56" s="14"/>
      <c r="H56" s="13">
        <f t="shared" si="2"/>
        <v>63801</v>
      </c>
      <c r="I56" s="13"/>
      <c r="J56" s="13"/>
      <c r="K56" s="13">
        <f t="shared" si="3"/>
        <v>63801</v>
      </c>
      <c r="L56" s="14"/>
    </row>
    <row r="57" spans="1:12" ht="13.5" customHeight="1" x14ac:dyDescent="0.2">
      <c r="A57" s="9">
        <v>52</v>
      </c>
      <c r="B57" s="10" t="s">
        <v>119</v>
      </c>
      <c r="C57" s="11" t="s">
        <v>120</v>
      </c>
      <c r="D57" s="12" t="s">
        <v>121</v>
      </c>
      <c r="E57" s="14">
        <f>314223725-939054</f>
        <v>313284671</v>
      </c>
      <c r="F57" s="14">
        <f>2054435-939054</f>
        <v>1115381</v>
      </c>
      <c r="G57" s="14"/>
      <c r="H57" s="13">
        <f t="shared" si="2"/>
        <v>312169290</v>
      </c>
      <c r="I57" s="13"/>
      <c r="J57" s="13"/>
      <c r="K57" s="13">
        <f t="shared" si="3"/>
        <v>313284671</v>
      </c>
      <c r="L57" s="14"/>
    </row>
    <row r="58" spans="1:12" ht="13.5" customHeight="1" x14ac:dyDescent="0.2">
      <c r="A58" s="9">
        <v>53</v>
      </c>
      <c r="B58" s="15" t="s">
        <v>122</v>
      </c>
      <c r="C58" s="11" t="s">
        <v>123</v>
      </c>
      <c r="D58" s="12" t="s">
        <v>121</v>
      </c>
      <c r="E58" s="14">
        <v>205845477</v>
      </c>
      <c r="F58" s="14">
        <v>218913</v>
      </c>
      <c r="G58" s="14"/>
      <c r="H58" s="13">
        <f t="shared" si="2"/>
        <v>205626564</v>
      </c>
      <c r="I58" s="13"/>
      <c r="J58" s="13"/>
      <c r="K58" s="13">
        <f t="shared" si="3"/>
        <v>205845477</v>
      </c>
      <c r="L58" s="14"/>
    </row>
    <row r="59" spans="1:12" ht="13.5" customHeight="1" x14ac:dyDescent="0.2">
      <c r="A59" s="9">
        <v>54</v>
      </c>
      <c r="B59" s="15" t="s">
        <v>124</v>
      </c>
      <c r="C59" s="11" t="s">
        <v>125</v>
      </c>
      <c r="D59" s="12" t="s">
        <v>121</v>
      </c>
      <c r="E59" s="14">
        <v>353590841</v>
      </c>
      <c r="F59" s="14">
        <v>338777</v>
      </c>
      <c r="G59" s="14"/>
      <c r="H59" s="13">
        <f t="shared" si="2"/>
        <v>353252064</v>
      </c>
      <c r="I59" s="13"/>
      <c r="J59" s="13"/>
      <c r="K59" s="13">
        <f t="shared" si="3"/>
        <v>353590841</v>
      </c>
      <c r="L59" s="14"/>
    </row>
    <row r="60" spans="1:12" ht="13.5" customHeight="1" x14ac:dyDescent="0.2">
      <c r="A60" s="9">
        <v>55</v>
      </c>
      <c r="B60" s="10" t="s">
        <v>126</v>
      </c>
      <c r="C60" s="11" t="s">
        <v>127</v>
      </c>
      <c r="D60" s="12" t="s">
        <v>121</v>
      </c>
      <c r="E60" s="14">
        <f>169871923-583769</f>
        <v>169288154</v>
      </c>
      <c r="F60" s="14">
        <f>583769-583769</f>
        <v>0</v>
      </c>
      <c r="G60" s="14"/>
      <c r="H60" s="13">
        <f t="shared" si="2"/>
        <v>169288154</v>
      </c>
      <c r="I60" s="13"/>
      <c r="J60" s="13"/>
      <c r="K60" s="13">
        <f t="shared" si="3"/>
        <v>169288154</v>
      </c>
      <c r="L60" s="14"/>
    </row>
    <row r="61" spans="1:12" ht="13.5" customHeight="1" x14ac:dyDescent="0.2">
      <c r="A61" s="9">
        <v>56</v>
      </c>
      <c r="B61" s="15" t="s">
        <v>128</v>
      </c>
      <c r="C61" s="11" t="s">
        <v>129</v>
      </c>
      <c r="D61" s="12" t="s">
        <v>121</v>
      </c>
      <c r="E61" s="14">
        <f>225397806-2189133</f>
        <v>223208673</v>
      </c>
      <c r="F61" s="14">
        <f>2537959-2189133</f>
        <v>348826</v>
      </c>
      <c r="G61" s="14"/>
      <c r="H61" s="13">
        <f t="shared" si="2"/>
        <v>222859847</v>
      </c>
      <c r="I61" s="13"/>
      <c r="J61" s="13"/>
      <c r="K61" s="13">
        <f t="shared" si="3"/>
        <v>223208673</v>
      </c>
      <c r="L61" s="14"/>
    </row>
    <row r="62" spans="1:12" ht="13.5" customHeight="1" x14ac:dyDescent="0.2">
      <c r="A62" s="9">
        <v>57</v>
      </c>
      <c r="B62" s="10" t="s">
        <v>130</v>
      </c>
      <c r="C62" s="11" t="s">
        <v>131</v>
      </c>
      <c r="D62" s="12" t="s">
        <v>121</v>
      </c>
      <c r="E62" s="14">
        <f>210600728+234465-500186</f>
        <v>210335007</v>
      </c>
      <c r="F62" s="14">
        <f>20106264-5001886</f>
        <v>15104378</v>
      </c>
      <c r="G62" s="14"/>
      <c r="H62" s="13">
        <f t="shared" si="2"/>
        <v>195230629</v>
      </c>
      <c r="I62" s="13"/>
      <c r="J62" s="13"/>
      <c r="K62" s="13">
        <f t="shared" si="3"/>
        <v>210335007</v>
      </c>
      <c r="L62" s="14"/>
    </row>
    <row r="63" spans="1:12" ht="13.5" customHeight="1" x14ac:dyDescent="0.2">
      <c r="A63" s="9">
        <v>58</v>
      </c>
      <c r="B63" s="10" t="s">
        <v>132</v>
      </c>
      <c r="C63" s="11" t="s">
        <v>133</v>
      </c>
      <c r="D63" s="12" t="s">
        <v>121</v>
      </c>
      <c r="E63" s="14">
        <f>249574972-364855</f>
        <v>249210117</v>
      </c>
      <c r="F63" s="14">
        <f>416773-364855</f>
        <v>51918</v>
      </c>
      <c r="G63" s="14">
        <v>3820336</v>
      </c>
      <c r="H63" s="13">
        <f t="shared" si="2"/>
        <v>245337863</v>
      </c>
      <c r="I63" s="13"/>
      <c r="J63" s="13"/>
      <c r="K63" s="13">
        <f t="shared" si="3"/>
        <v>249210117</v>
      </c>
      <c r="L63" s="14"/>
    </row>
    <row r="64" spans="1:12" ht="13.5" customHeight="1" x14ac:dyDescent="0.2">
      <c r="A64" s="9">
        <v>59</v>
      </c>
      <c r="B64" s="15" t="s">
        <v>134</v>
      </c>
      <c r="C64" s="11" t="s">
        <v>135</v>
      </c>
      <c r="D64" s="12" t="s">
        <v>121</v>
      </c>
      <c r="E64" s="14">
        <f>384929295-20463464</f>
        <v>364465831</v>
      </c>
      <c r="F64" s="14">
        <f>20969955-20463464</f>
        <v>506491</v>
      </c>
      <c r="G64" s="14"/>
      <c r="H64" s="13">
        <f t="shared" si="2"/>
        <v>363959340</v>
      </c>
      <c r="I64" s="13"/>
      <c r="J64" s="13"/>
      <c r="K64" s="13">
        <f t="shared" si="3"/>
        <v>364465831</v>
      </c>
      <c r="L64" s="14"/>
    </row>
    <row r="65" spans="1:12" ht="13.5" customHeight="1" x14ac:dyDescent="0.2">
      <c r="A65" s="9">
        <v>60</v>
      </c>
      <c r="B65" s="15" t="s">
        <v>136</v>
      </c>
      <c r="C65" s="11" t="s">
        <v>137</v>
      </c>
      <c r="D65" s="12" t="s">
        <v>121</v>
      </c>
      <c r="E65" s="14">
        <f>343683478-5423866</f>
        <v>338259612</v>
      </c>
      <c r="F65" s="14">
        <f>11782421-5423866</f>
        <v>6358555</v>
      </c>
      <c r="G65" s="14"/>
      <c r="H65" s="13">
        <f t="shared" si="2"/>
        <v>331901057</v>
      </c>
      <c r="I65" s="13"/>
      <c r="J65" s="13"/>
      <c r="K65" s="13">
        <f t="shared" si="3"/>
        <v>338259612</v>
      </c>
      <c r="L65" s="14"/>
    </row>
    <row r="66" spans="1:12" ht="13.5" customHeight="1" x14ac:dyDescent="0.2">
      <c r="A66" s="9">
        <v>61</v>
      </c>
      <c r="B66" s="10" t="s">
        <v>138</v>
      </c>
      <c r="C66" s="20" t="s">
        <v>139</v>
      </c>
      <c r="D66" s="12" t="s">
        <v>121</v>
      </c>
      <c r="E66" s="14">
        <v>185044504</v>
      </c>
      <c r="F66" s="14">
        <v>145942</v>
      </c>
      <c r="G66" s="14">
        <v>5661409</v>
      </c>
      <c r="H66" s="13">
        <f t="shared" si="2"/>
        <v>179237153</v>
      </c>
      <c r="I66" s="13"/>
      <c r="J66" s="13"/>
      <c r="K66" s="13">
        <f t="shared" si="3"/>
        <v>185044504</v>
      </c>
      <c r="L66" s="14"/>
    </row>
    <row r="67" spans="1:12" ht="13.5" customHeight="1" x14ac:dyDescent="0.2">
      <c r="A67" s="9">
        <v>62</v>
      </c>
      <c r="B67" s="15" t="s">
        <v>140</v>
      </c>
      <c r="C67" s="11" t="s">
        <v>141</v>
      </c>
      <c r="D67" s="12" t="s">
        <v>121</v>
      </c>
      <c r="E67" s="14">
        <v>173660965</v>
      </c>
      <c r="F67" s="14">
        <v>238292</v>
      </c>
      <c r="G67" s="14">
        <v>14617570</v>
      </c>
      <c r="H67" s="13">
        <f t="shared" si="2"/>
        <v>158805103</v>
      </c>
      <c r="I67" s="13"/>
      <c r="J67" s="13"/>
      <c r="K67" s="13">
        <f t="shared" si="3"/>
        <v>173660965</v>
      </c>
      <c r="L67" s="14"/>
    </row>
    <row r="68" spans="1:12" ht="13.5" customHeight="1" x14ac:dyDescent="0.2">
      <c r="A68" s="9">
        <v>63</v>
      </c>
      <c r="B68" s="15" t="s">
        <v>142</v>
      </c>
      <c r="C68" s="11" t="s">
        <v>143</v>
      </c>
      <c r="D68" s="12" t="s">
        <v>144</v>
      </c>
      <c r="E68" s="14">
        <v>91647524</v>
      </c>
      <c r="F68" s="14"/>
      <c r="G68" s="14"/>
      <c r="H68" s="13">
        <f t="shared" si="2"/>
        <v>91647524</v>
      </c>
      <c r="I68" s="13">
        <v>55374649</v>
      </c>
      <c r="J68" s="13"/>
      <c r="K68" s="13">
        <f t="shared" si="3"/>
        <v>147022173</v>
      </c>
      <c r="L68" s="14"/>
    </row>
    <row r="69" spans="1:12" s="26" customFormat="1" ht="13.5" customHeight="1" x14ac:dyDescent="0.15">
      <c r="A69" s="21">
        <v>64</v>
      </c>
      <c r="B69" s="22" t="s">
        <v>145</v>
      </c>
      <c r="C69" s="23" t="s">
        <v>146</v>
      </c>
      <c r="D69" s="24" t="s">
        <v>147</v>
      </c>
      <c r="E69" s="25">
        <f>SUM(E70:E76)</f>
        <v>299643822</v>
      </c>
      <c r="F69" s="25">
        <f t="shared" ref="F69:K69" si="4">SUM(F70:F76)</f>
        <v>10405927</v>
      </c>
      <c r="G69" s="25">
        <f t="shared" si="4"/>
        <v>7272506</v>
      </c>
      <c r="H69" s="25">
        <f t="shared" si="4"/>
        <v>281965389</v>
      </c>
      <c r="I69" s="25">
        <f t="shared" si="4"/>
        <v>14674783</v>
      </c>
      <c r="J69" s="25">
        <f t="shared" si="4"/>
        <v>0</v>
      </c>
      <c r="K69" s="25">
        <f t="shared" si="4"/>
        <v>314318605</v>
      </c>
      <c r="L69" s="25"/>
    </row>
    <row r="70" spans="1:12" ht="13.5" customHeight="1" x14ac:dyDescent="0.2">
      <c r="A70" s="21"/>
      <c r="B70" s="9"/>
      <c r="C70" s="9" t="s">
        <v>148</v>
      </c>
      <c r="D70" s="12" t="s">
        <v>107</v>
      </c>
      <c r="E70" s="14">
        <f>268401373-360890</f>
        <v>268040483</v>
      </c>
      <c r="F70" s="14">
        <f>10766817-360890</f>
        <v>10405927</v>
      </c>
      <c r="G70" s="14">
        <v>7272506</v>
      </c>
      <c r="H70" s="13">
        <f>E70-F70-G70</f>
        <v>250362050</v>
      </c>
      <c r="I70" s="27"/>
      <c r="J70" s="27"/>
      <c r="K70" s="13">
        <f>E70+I70</f>
        <v>268040483</v>
      </c>
      <c r="L70" s="14"/>
    </row>
    <row r="71" spans="1:12" ht="13.5" customHeight="1" x14ac:dyDescent="0.2">
      <c r="A71" s="21"/>
      <c r="B71" s="9"/>
      <c r="C71" s="9">
        <v>10027</v>
      </c>
      <c r="D71" s="12" t="s">
        <v>147</v>
      </c>
      <c r="E71" s="14">
        <v>14231329</v>
      </c>
      <c r="F71" s="14"/>
      <c r="G71" s="14"/>
      <c r="H71" s="13">
        <f>E71-F71-G71</f>
        <v>14231329</v>
      </c>
      <c r="I71" s="14">
        <v>14674783</v>
      </c>
      <c r="J71" s="14"/>
      <c r="K71" s="13">
        <f>E71+I71</f>
        <v>28906112</v>
      </c>
      <c r="L71" s="14"/>
    </row>
    <row r="72" spans="1:12" ht="13.5" customHeight="1" x14ac:dyDescent="0.2">
      <c r="A72" s="21"/>
      <c r="B72" s="9"/>
      <c r="C72" s="9">
        <v>10012</v>
      </c>
      <c r="D72" s="47" t="s">
        <v>16</v>
      </c>
      <c r="E72" s="51">
        <v>17372010</v>
      </c>
      <c r="F72" s="51"/>
      <c r="G72" s="51"/>
      <c r="H72" s="44">
        <f>E72-F72-G72</f>
        <v>17372010</v>
      </c>
      <c r="I72" s="44"/>
      <c r="J72" s="44"/>
      <c r="K72" s="44">
        <f>E72+I72</f>
        <v>17372010</v>
      </c>
      <c r="L72" s="14"/>
    </row>
    <row r="73" spans="1:12" ht="13.5" customHeight="1" x14ac:dyDescent="0.2">
      <c r="A73" s="21"/>
      <c r="B73" s="9"/>
      <c r="C73" s="9">
        <v>10020</v>
      </c>
      <c r="D73" s="47"/>
      <c r="E73" s="56"/>
      <c r="F73" s="56"/>
      <c r="G73" s="56"/>
      <c r="H73" s="45"/>
      <c r="I73" s="58"/>
      <c r="J73" s="45"/>
      <c r="K73" s="45"/>
      <c r="L73" s="14"/>
    </row>
    <row r="74" spans="1:12" ht="13.5" customHeight="1" x14ac:dyDescent="0.2">
      <c r="A74" s="21"/>
      <c r="B74" s="9"/>
      <c r="C74" s="9">
        <v>10064</v>
      </c>
      <c r="D74" s="47"/>
      <c r="E74" s="56"/>
      <c r="F74" s="56"/>
      <c r="G74" s="56"/>
      <c r="H74" s="45"/>
      <c r="I74" s="58"/>
      <c r="J74" s="45"/>
      <c r="K74" s="45"/>
      <c r="L74" s="14"/>
    </row>
    <row r="75" spans="1:12" ht="13.5" customHeight="1" x14ac:dyDescent="0.2">
      <c r="A75" s="21"/>
      <c r="B75" s="9"/>
      <c r="C75" s="9">
        <v>10065</v>
      </c>
      <c r="D75" s="47"/>
      <c r="E75" s="56"/>
      <c r="F75" s="56"/>
      <c r="G75" s="56"/>
      <c r="H75" s="45"/>
      <c r="I75" s="58"/>
      <c r="J75" s="45"/>
      <c r="K75" s="45"/>
      <c r="L75" s="14"/>
    </row>
    <row r="76" spans="1:12" ht="13.5" customHeight="1" x14ac:dyDescent="0.2">
      <c r="A76" s="21"/>
      <c r="B76" s="9"/>
      <c r="C76" s="9">
        <v>10070</v>
      </c>
      <c r="D76" s="47"/>
      <c r="E76" s="57"/>
      <c r="F76" s="57"/>
      <c r="G76" s="57"/>
      <c r="H76" s="46"/>
      <c r="I76" s="59"/>
      <c r="J76" s="46"/>
      <c r="K76" s="46"/>
      <c r="L76" s="14"/>
    </row>
    <row r="77" spans="1:12" s="26" customFormat="1" ht="13.5" customHeight="1" x14ac:dyDescent="0.15">
      <c r="A77" s="21">
        <v>65</v>
      </c>
      <c r="B77" s="22" t="s">
        <v>149</v>
      </c>
      <c r="C77" s="23" t="s">
        <v>150</v>
      </c>
      <c r="D77" s="24" t="s">
        <v>147</v>
      </c>
      <c r="E77" s="25">
        <f>SUM(E78:E81)</f>
        <v>151373106</v>
      </c>
      <c r="F77" s="25">
        <f t="shared" ref="F77:K77" si="5">SUM(F78:F81)</f>
        <v>7470409</v>
      </c>
      <c r="G77" s="25">
        <f t="shared" si="5"/>
        <v>10055498</v>
      </c>
      <c r="H77" s="25">
        <f t="shared" si="5"/>
        <v>133847199</v>
      </c>
      <c r="I77" s="25">
        <f t="shared" si="5"/>
        <v>42317073</v>
      </c>
      <c r="J77" s="25">
        <f t="shared" si="5"/>
        <v>0</v>
      </c>
      <c r="K77" s="25">
        <f t="shared" si="5"/>
        <v>193690179</v>
      </c>
      <c r="L77" s="25"/>
    </row>
    <row r="78" spans="1:12" ht="13.5" customHeight="1" x14ac:dyDescent="0.2">
      <c r="A78" s="21"/>
      <c r="B78" s="9"/>
      <c r="C78" s="9" t="s">
        <v>148</v>
      </c>
      <c r="D78" s="12" t="s">
        <v>107</v>
      </c>
      <c r="E78" s="14">
        <f>116102218-8171488</f>
        <v>107930730</v>
      </c>
      <c r="F78" s="14">
        <f>15641897-8171488</f>
        <v>7470409</v>
      </c>
      <c r="G78" s="14">
        <v>10055498</v>
      </c>
      <c r="H78" s="13">
        <f>E78-F78-G78</f>
        <v>90404823</v>
      </c>
      <c r="I78" s="27"/>
      <c r="J78" s="27"/>
      <c r="K78" s="13">
        <f>E78+I78</f>
        <v>107930730</v>
      </c>
      <c r="L78" s="14"/>
    </row>
    <row r="79" spans="1:12" ht="13.5" customHeight="1" x14ac:dyDescent="0.2">
      <c r="A79" s="21"/>
      <c r="B79" s="9"/>
      <c r="C79" s="9">
        <v>6202</v>
      </c>
      <c r="D79" s="47" t="s">
        <v>147</v>
      </c>
      <c r="E79" s="48">
        <v>43442376</v>
      </c>
      <c r="F79" s="48"/>
      <c r="G79" s="48"/>
      <c r="H79" s="44">
        <f>E79-F79-G79</f>
        <v>43442376</v>
      </c>
      <c r="I79" s="51">
        <v>42317073</v>
      </c>
      <c r="J79" s="51"/>
      <c r="K79" s="44">
        <f>E79+I79</f>
        <v>85759449</v>
      </c>
      <c r="L79" s="14"/>
    </row>
    <row r="80" spans="1:12" ht="13.5" customHeight="1" x14ac:dyDescent="0.2">
      <c r="A80" s="21"/>
      <c r="B80" s="9"/>
      <c r="C80" s="9">
        <v>6203</v>
      </c>
      <c r="D80" s="47"/>
      <c r="E80" s="49"/>
      <c r="F80" s="49"/>
      <c r="G80" s="49"/>
      <c r="H80" s="45"/>
      <c r="I80" s="52"/>
      <c r="J80" s="54"/>
      <c r="K80" s="45"/>
      <c r="L80" s="14"/>
    </row>
    <row r="81" spans="1:12" ht="13.5" customHeight="1" x14ac:dyDescent="0.2">
      <c r="A81" s="21"/>
      <c r="B81" s="9"/>
      <c r="C81" s="9">
        <v>6204</v>
      </c>
      <c r="D81" s="47"/>
      <c r="E81" s="50"/>
      <c r="F81" s="50"/>
      <c r="G81" s="50"/>
      <c r="H81" s="46"/>
      <c r="I81" s="53"/>
      <c r="J81" s="55"/>
      <c r="K81" s="46"/>
      <c r="L81" s="14"/>
    </row>
    <row r="82" spans="1:12" s="26" customFormat="1" ht="13.5" customHeight="1" x14ac:dyDescent="0.15">
      <c r="A82" s="21">
        <v>66</v>
      </c>
      <c r="B82" s="28" t="s">
        <v>151</v>
      </c>
      <c r="C82" s="23" t="s">
        <v>152</v>
      </c>
      <c r="D82" s="24" t="s">
        <v>147</v>
      </c>
      <c r="E82" s="25">
        <f t="shared" ref="E82:K82" si="6">SUM(E83:E85)</f>
        <v>502131487</v>
      </c>
      <c r="F82" s="25">
        <f t="shared" si="6"/>
        <v>6623428</v>
      </c>
      <c r="G82" s="25">
        <f t="shared" si="6"/>
        <v>8784977</v>
      </c>
      <c r="H82" s="25">
        <f t="shared" si="6"/>
        <v>486723082</v>
      </c>
      <c r="I82" s="25">
        <f t="shared" si="6"/>
        <v>34368829</v>
      </c>
      <c r="J82" s="25">
        <f t="shared" si="6"/>
        <v>0</v>
      </c>
      <c r="K82" s="25">
        <f t="shared" si="6"/>
        <v>536500316</v>
      </c>
      <c r="L82" s="25"/>
    </row>
    <row r="83" spans="1:12" ht="13.5" customHeight="1" x14ac:dyDescent="0.2">
      <c r="A83" s="21"/>
      <c r="B83" s="21"/>
      <c r="C83" s="9" t="s">
        <v>148</v>
      </c>
      <c r="D83" s="12" t="s">
        <v>107</v>
      </c>
      <c r="E83" s="14">
        <f>432254507-3970969</f>
        <v>428283538</v>
      </c>
      <c r="F83" s="14">
        <f>10594397-3970969</f>
        <v>6623428</v>
      </c>
      <c r="G83" s="14">
        <v>8784977</v>
      </c>
      <c r="H83" s="13">
        <f>E83-F83-G83</f>
        <v>412875133</v>
      </c>
      <c r="I83" s="14"/>
      <c r="J83" s="14"/>
      <c r="K83" s="13">
        <f>E83+I83</f>
        <v>428283538</v>
      </c>
      <c r="L83" s="14"/>
    </row>
    <row r="84" spans="1:12" ht="13.5" customHeight="1" x14ac:dyDescent="0.2">
      <c r="A84" s="21"/>
      <c r="B84" s="21"/>
      <c r="C84" s="9">
        <v>4132</v>
      </c>
      <c r="D84" s="47" t="s">
        <v>153</v>
      </c>
      <c r="E84" s="51">
        <v>73847949</v>
      </c>
      <c r="F84" s="51"/>
      <c r="G84" s="51"/>
      <c r="H84" s="44">
        <f>E84-F84-G84</f>
        <v>73847949</v>
      </c>
      <c r="I84" s="51">
        <v>34368829</v>
      </c>
      <c r="J84" s="51"/>
      <c r="K84" s="44">
        <f>E84+I84</f>
        <v>108216778</v>
      </c>
      <c r="L84" s="14"/>
    </row>
    <row r="85" spans="1:12" ht="13.5" customHeight="1" x14ac:dyDescent="0.2">
      <c r="A85" s="21"/>
      <c r="B85" s="21"/>
      <c r="C85" s="9">
        <v>4017</v>
      </c>
      <c r="D85" s="47"/>
      <c r="E85" s="57"/>
      <c r="F85" s="57"/>
      <c r="G85" s="57"/>
      <c r="H85" s="46"/>
      <c r="I85" s="53"/>
      <c r="J85" s="55"/>
      <c r="K85" s="46"/>
      <c r="L85" s="14"/>
    </row>
    <row r="86" spans="1:12" s="26" customFormat="1" ht="13.5" customHeight="1" x14ac:dyDescent="0.15">
      <c r="A86" s="21">
        <v>67</v>
      </c>
      <c r="B86" s="28" t="s">
        <v>154</v>
      </c>
      <c r="C86" s="23" t="s">
        <v>155</v>
      </c>
      <c r="D86" s="24" t="s">
        <v>147</v>
      </c>
      <c r="E86" s="25">
        <f>SUM(E87:E90)</f>
        <v>384547665</v>
      </c>
      <c r="F86" s="25">
        <f t="shared" ref="F86:K86" si="7">SUM(F87:F90)</f>
        <v>18497811</v>
      </c>
      <c r="G86" s="25">
        <f t="shared" si="7"/>
        <v>15181624</v>
      </c>
      <c r="H86" s="25">
        <f t="shared" si="7"/>
        <v>350868230</v>
      </c>
      <c r="I86" s="25">
        <f t="shared" si="7"/>
        <v>4269405</v>
      </c>
      <c r="J86" s="25">
        <f t="shared" si="7"/>
        <v>1270550</v>
      </c>
      <c r="K86" s="25">
        <f t="shared" si="7"/>
        <v>388817070</v>
      </c>
      <c r="L86" s="25"/>
    </row>
    <row r="87" spans="1:12" ht="13.5" customHeight="1" x14ac:dyDescent="0.2">
      <c r="A87" s="21"/>
      <c r="B87" s="21"/>
      <c r="C87" s="9" t="s">
        <v>148</v>
      </c>
      <c r="D87" s="12" t="s">
        <v>121</v>
      </c>
      <c r="E87" s="14">
        <v>316225765</v>
      </c>
      <c r="F87" s="14"/>
      <c r="G87" s="14">
        <v>15181624</v>
      </c>
      <c r="H87" s="13">
        <f>E87-F87-G87</f>
        <v>301044141</v>
      </c>
      <c r="I87" s="27"/>
      <c r="J87" s="27"/>
      <c r="K87" s="13">
        <f>E87+I87</f>
        <v>316225765</v>
      </c>
      <c r="L87" s="14"/>
    </row>
    <row r="88" spans="1:12" ht="13.5" customHeight="1" x14ac:dyDescent="0.2">
      <c r="A88" s="21"/>
      <c r="B88" s="21"/>
      <c r="C88" s="9">
        <v>13023</v>
      </c>
      <c r="D88" s="47" t="s">
        <v>147</v>
      </c>
      <c r="E88" s="51">
        <f>71963071+212046-3853217</f>
        <v>68321900</v>
      </c>
      <c r="F88" s="51">
        <f>22351028-3853217</f>
        <v>18497811</v>
      </c>
      <c r="G88" s="51"/>
      <c r="H88" s="44">
        <f>E88-F88-G88</f>
        <v>49824089</v>
      </c>
      <c r="I88" s="51">
        <f>4236830+32575</f>
        <v>4269405</v>
      </c>
      <c r="J88" s="51">
        <v>1270550</v>
      </c>
      <c r="K88" s="44">
        <f>E88+I88</f>
        <v>72591305</v>
      </c>
      <c r="L88" s="14"/>
    </row>
    <row r="89" spans="1:12" ht="13.5" customHeight="1" x14ac:dyDescent="0.2">
      <c r="A89" s="21"/>
      <c r="B89" s="21"/>
      <c r="C89" s="9">
        <v>13013</v>
      </c>
      <c r="D89" s="47"/>
      <c r="E89" s="54"/>
      <c r="F89" s="54"/>
      <c r="G89" s="54"/>
      <c r="H89" s="45"/>
      <c r="I89" s="52"/>
      <c r="J89" s="54"/>
      <c r="K89" s="45"/>
      <c r="L89" s="14"/>
    </row>
    <row r="90" spans="1:12" ht="13.5" customHeight="1" x14ac:dyDescent="0.2">
      <c r="A90" s="21"/>
      <c r="B90" s="21"/>
      <c r="C90" s="9">
        <v>13012</v>
      </c>
      <c r="D90" s="47"/>
      <c r="E90" s="55"/>
      <c r="F90" s="55"/>
      <c r="G90" s="55"/>
      <c r="H90" s="46"/>
      <c r="I90" s="53"/>
      <c r="J90" s="55"/>
      <c r="K90" s="46"/>
      <c r="L90" s="14"/>
    </row>
    <row r="91" spans="1:12" s="26" customFormat="1" ht="13.5" customHeight="1" x14ac:dyDescent="0.15">
      <c r="A91" s="21">
        <v>68</v>
      </c>
      <c r="B91" s="28" t="s">
        <v>156</v>
      </c>
      <c r="C91" s="23" t="s">
        <v>157</v>
      </c>
      <c r="D91" s="24" t="s">
        <v>147</v>
      </c>
      <c r="E91" s="25">
        <f>SUM(E92:E96)</f>
        <v>523869199</v>
      </c>
      <c r="F91" s="25">
        <f t="shared" ref="F91:K91" si="8">SUM(F92:F96)</f>
        <v>9101380</v>
      </c>
      <c r="G91" s="25">
        <f t="shared" si="8"/>
        <v>16866706</v>
      </c>
      <c r="H91" s="25">
        <f t="shared" si="8"/>
        <v>497901113</v>
      </c>
      <c r="I91" s="25">
        <f t="shared" si="8"/>
        <v>25944049</v>
      </c>
      <c r="J91" s="25">
        <f t="shared" si="8"/>
        <v>0</v>
      </c>
      <c r="K91" s="25">
        <f t="shared" si="8"/>
        <v>549813248</v>
      </c>
      <c r="L91" s="25"/>
    </row>
    <row r="92" spans="1:12" ht="13.5" customHeight="1" x14ac:dyDescent="0.2">
      <c r="A92" s="21"/>
      <c r="B92" s="21"/>
      <c r="C92" s="9" t="s">
        <v>148</v>
      </c>
      <c r="D92" s="12" t="s">
        <v>121</v>
      </c>
      <c r="E92" s="14">
        <f>485007806-4566077</f>
        <v>480441729</v>
      </c>
      <c r="F92" s="14">
        <f>13667457-4566077</f>
        <v>9101380</v>
      </c>
      <c r="G92" s="14">
        <v>16866706</v>
      </c>
      <c r="H92" s="13">
        <f>E92-F92-G92</f>
        <v>454473643</v>
      </c>
      <c r="I92" s="27"/>
      <c r="J92" s="27"/>
      <c r="K92" s="13">
        <f>E92+I92</f>
        <v>480441729</v>
      </c>
      <c r="L92" s="14"/>
    </row>
    <row r="93" spans="1:12" ht="13.5" customHeight="1" x14ac:dyDescent="0.2">
      <c r="A93" s="21"/>
      <c r="B93" s="21"/>
      <c r="C93" s="9">
        <v>12232</v>
      </c>
      <c r="D93" s="12" t="s">
        <v>147</v>
      </c>
      <c r="E93" s="14">
        <v>18855476</v>
      </c>
      <c r="F93" s="14"/>
      <c r="G93" s="14"/>
      <c r="H93" s="13">
        <f>E93-F93-G93</f>
        <v>18855476</v>
      </c>
      <c r="I93" s="14">
        <v>25944049</v>
      </c>
      <c r="J93" s="14"/>
      <c r="K93" s="13">
        <f>E93+I93</f>
        <v>44799525</v>
      </c>
      <c r="L93" s="14"/>
    </row>
    <row r="94" spans="1:12" ht="13.5" customHeight="1" x14ac:dyDescent="0.2">
      <c r="A94" s="21"/>
      <c r="B94" s="21"/>
      <c r="C94" s="9" t="s">
        <v>158</v>
      </c>
      <c r="D94" s="47" t="s">
        <v>16</v>
      </c>
      <c r="E94" s="51">
        <v>24571994</v>
      </c>
      <c r="F94" s="51"/>
      <c r="G94" s="51"/>
      <c r="H94" s="44">
        <f>E94-F94-G94</f>
        <v>24571994</v>
      </c>
      <c r="I94" s="44"/>
      <c r="J94" s="44"/>
      <c r="K94" s="44">
        <f>E94+I94</f>
        <v>24571994</v>
      </c>
      <c r="L94" s="14"/>
    </row>
    <row r="95" spans="1:12" ht="13.5" customHeight="1" x14ac:dyDescent="0.2">
      <c r="A95" s="21"/>
      <c r="B95" s="21"/>
      <c r="C95" s="9" t="s">
        <v>159</v>
      </c>
      <c r="D95" s="47"/>
      <c r="E95" s="56"/>
      <c r="F95" s="56"/>
      <c r="G95" s="56"/>
      <c r="H95" s="45"/>
      <c r="I95" s="58"/>
      <c r="J95" s="45"/>
      <c r="K95" s="45"/>
      <c r="L95" s="14"/>
    </row>
    <row r="96" spans="1:12" ht="13.5" customHeight="1" x14ac:dyDescent="0.2">
      <c r="A96" s="21"/>
      <c r="B96" s="21"/>
      <c r="C96" s="9" t="s">
        <v>160</v>
      </c>
      <c r="D96" s="47"/>
      <c r="E96" s="57"/>
      <c r="F96" s="57"/>
      <c r="G96" s="57"/>
      <c r="H96" s="46"/>
      <c r="I96" s="59"/>
      <c r="J96" s="46"/>
      <c r="K96" s="46"/>
      <c r="L96" s="14"/>
    </row>
    <row r="97" spans="1:12" s="26" customFormat="1" ht="13.5" customHeight="1" x14ac:dyDescent="0.15">
      <c r="A97" s="21">
        <v>69</v>
      </c>
      <c r="B97" s="29" t="s">
        <v>161</v>
      </c>
      <c r="C97" s="23" t="s">
        <v>162</v>
      </c>
      <c r="D97" s="24" t="s">
        <v>147</v>
      </c>
      <c r="E97" s="25">
        <f>SUM(E98:E100)</f>
        <v>396323059</v>
      </c>
      <c r="F97" s="25">
        <f t="shared" ref="F97:K97" si="9">SUM(F98:F100)</f>
        <v>3435192</v>
      </c>
      <c r="G97" s="25">
        <f t="shared" si="9"/>
        <v>0</v>
      </c>
      <c r="H97" s="25">
        <f t="shared" si="9"/>
        <v>392887867</v>
      </c>
      <c r="I97" s="25">
        <f t="shared" si="9"/>
        <v>8860350</v>
      </c>
      <c r="J97" s="25">
        <f t="shared" si="9"/>
        <v>0</v>
      </c>
      <c r="K97" s="25">
        <f t="shared" si="9"/>
        <v>405183409</v>
      </c>
      <c r="L97" s="25"/>
    </row>
    <row r="98" spans="1:12" ht="13.5" customHeight="1" x14ac:dyDescent="0.2">
      <c r="A98" s="21"/>
      <c r="B98" s="21"/>
      <c r="C98" s="9" t="s">
        <v>148</v>
      </c>
      <c r="D98" s="12" t="s">
        <v>107</v>
      </c>
      <c r="E98" s="14">
        <f>357686748-1332334</f>
        <v>356354414</v>
      </c>
      <c r="F98" s="14">
        <f>4767526-1332334</f>
        <v>3435192</v>
      </c>
      <c r="G98" s="14"/>
      <c r="H98" s="13">
        <f>E98-F98-G98</f>
        <v>352919222</v>
      </c>
      <c r="I98" s="27"/>
      <c r="J98" s="27"/>
      <c r="K98" s="13">
        <f>E98+I98</f>
        <v>356354414</v>
      </c>
      <c r="L98" s="14"/>
    </row>
    <row r="99" spans="1:12" ht="13.5" customHeight="1" x14ac:dyDescent="0.2">
      <c r="A99" s="21"/>
      <c r="B99" s="21"/>
      <c r="C99" s="9">
        <v>14029</v>
      </c>
      <c r="D99" s="47" t="s">
        <v>147</v>
      </c>
      <c r="E99" s="51">
        <v>39968645</v>
      </c>
      <c r="F99" s="51"/>
      <c r="G99" s="51"/>
      <c r="H99" s="44">
        <f>E99-F99-G99</f>
        <v>39968645</v>
      </c>
      <c r="I99" s="51">
        <v>8860350</v>
      </c>
      <c r="J99" s="51"/>
      <c r="K99" s="44">
        <f>E99+I99</f>
        <v>48828995</v>
      </c>
      <c r="L99" s="14"/>
    </row>
    <row r="100" spans="1:12" ht="13.5" customHeight="1" x14ac:dyDescent="0.2">
      <c r="A100" s="21"/>
      <c r="B100" s="21"/>
      <c r="C100" s="9">
        <v>14136</v>
      </c>
      <c r="D100" s="47"/>
      <c r="E100" s="57"/>
      <c r="F100" s="57"/>
      <c r="G100" s="57"/>
      <c r="H100" s="46"/>
      <c r="I100" s="53"/>
      <c r="J100" s="55"/>
      <c r="K100" s="46"/>
      <c r="L100" s="14"/>
    </row>
    <row r="101" spans="1:12" s="26" customFormat="1" ht="13.5" customHeight="1" x14ac:dyDescent="0.15">
      <c r="A101" s="21">
        <v>70</v>
      </c>
      <c r="B101" s="29" t="s">
        <v>163</v>
      </c>
      <c r="C101" s="23" t="s">
        <v>164</v>
      </c>
      <c r="D101" s="24" t="s">
        <v>147</v>
      </c>
      <c r="E101" s="18">
        <f>SUM(E102:E111)</f>
        <v>689242150</v>
      </c>
      <c r="F101" s="18">
        <f t="shared" ref="F101:K101" si="10">SUM(F102:F111)</f>
        <v>33200274</v>
      </c>
      <c r="G101" s="18">
        <f t="shared" si="10"/>
        <v>16426467</v>
      </c>
      <c r="H101" s="18">
        <f t="shared" si="10"/>
        <v>639615409</v>
      </c>
      <c r="I101" s="18">
        <f t="shared" si="10"/>
        <v>163375230</v>
      </c>
      <c r="J101" s="18">
        <f t="shared" si="10"/>
        <v>12705500</v>
      </c>
      <c r="K101" s="18">
        <f t="shared" si="10"/>
        <v>852617380</v>
      </c>
      <c r="L101" s="25"/>
    </row>
    <row r="102" spans="1:12" ht="13.5" customHeight="1" x14ac:dyDescent="0.2">
      <c r="A102" s="21"/>
      <c r="B102" s="21"/>
      <c r="C102" s="9" t="s">
        <v>148</v>
      </c>
      <c r="D102" s="12" t="s">
        <v>107</v>
      </c>
      <c r="E102" s="14">
        <f>421457586-22718</f>
        <v>421434868</v>
      </c>
      <c r="F102" s="14">
        <v>1534668</v>
      </c>
      <c r="G102" s="14">
        <f>16449185-22718</f>
        <v>16426467</v>
      </c>
      <c r="H102" s="13">
        <f>E102-F102-G102</f>
        <v>403473733</v>
      </c>
      <c r="I102" s="27"/>
      <c r="J102" s="27"/>
      <c r="K102" s="13">
        <f>E102+I102</f>
        <v>421434868</v>
      </c>
      <c r="L102" s="14"/>
    </row>
    <row r="103" spans="1:12" ht="13.5" customHeight="1" x14ac:dyDescent="0.2">
      <c r="A103" s="21"/>
      <c r="B103" s="21"/>
      <c r="C103" s="9">
        <v>16044</v>
      </c>
      <c r="D103" s="47" t="s">
        <v>147</v>
      </c>
      <c r="E103" s="51">
        <f>285745481-17938199</f>
        <v>267807282</v>
      </c>
      <c r="F103" s="51">
        <f>49603805-17938199</f>
        <v>31665606</v>
      </c>
      <c r="G103" s="51"/>
      <c r="H103" s="44">
        <f>E103-F103-G103</f>
        <v>236141676</v>
      </c>
      <c r="I103" s="51">
        <v>163375230</v>
      </c>
      <c r="J103" s="51">
        <v>12705500</v>
      </c>
      <c r="K103" s="44">
        <f>E103+I103</f>
        <v>431182512</v>
      </c>
      <c r="L103" s="14"/>
    </row>
    <row r="104" spans="1:12" ht="13.5" customHeight="1" x14ac:dyDescent="0.2">
      <c r="A104" s="21"/>
      <c r="B104" s="21"/>
      <c r="C104" s="9">
        <v>16050</v>
      </c>
      <c r="D104" s="47"/>
      <c r="E104" s="54"/>
      <c r="F104" s="54"/>
      <c r="G104" s="54"/>
      <c r="H104" s="45"/>
      <c r="I104" s="52"/>
      <c r="J104" s="54"/>
      <c r="K104" s="45"/>
      <c r="L104" s="14"/>
    </row>
    <row r="105" spans="1:12" ht="13.5" customHeight="1" x14ac:dyDescent="0.2">
      <c r="A105" s="21"/>
      <c r="B105" s="21"/>
      <c r="C105" s="9">
        <v>16301</v>
      </c>
      <c r="D105" s="47"/>
      <c r="E105" s="54"/>
      <c r="F105" s="54"/>
      <c r="G105" s="54"/>
      <c r="H105" s="45"/>
      <c r="I105" s="52"/>
      <c r="J105" s="54"/>
      <c r="K105" s="45"/>
      <c r="L105" s="14"/>
    </row>
    <row r="106" spans="1:12" ht="13.5" customHeight="1" x14ac:dyDescent="0.2">
      <c r="A106" s="21"/>
      <c r="B106" s="21"/>
      <c r="C106" s="9">
        <v>16054</v>
      </c>
      <c r="D106" s="47"/>
      <c r="E106" s="54"/>
      <c r="F106" s="54"/>
      <c r="G106" s="54"/>
      <c r="H106" s="45"/>
      <c r="I106" s="52"/>
      <c r="J106" s="54"/>
      <c r="K106" s="45"/>
      <c r="L106" s="14"/>
    </row>
    <row r="107" spans="1:12" ht="13.5" customHeight="1" x14ac:dyDescent="0.2">
      <c r="A107" s="21"/>
      <c r="B107" s="21"/>
      <c r="C107" s="9">
        <v>16048</v>
      </c>
      <c r="D107" s="47"/>
      <c r="E107" s="54"/>
      <c r="F107" s="54"/>
      <c r="G107" s="54"/>
      <c r="H107" s="45"/>
      <c r="I107" s="52"/>
      <c r="J107" s="54"/>
      <c r="K107" s="45"/>
      <c r="L107" s="14"/>
    </row>
    <row r="108" spans="1:12" ht="13.5" customHeight="1" x14ac:dyDescent="0.2">
      <c r="A108" s="21"/>
      <c r="B108" s="21"/>
      <c r="C108" s="9">
        <v>16045</v>
      </c>
      <c r="D108" s="47"/>
      <c r="E108" s="54"/>
      <c r="F108" s="54"/>
      <c r="G108" s="54"/>
      <c r="H108" s="45"/>
      <c r="I108" s="52"/>
      <c r="J108" s="54"/>
      <c r="K108" s="45"/>
      <c r="L108" s="14"/>
    </row>
    <row r="109" spans="1:12" ht="13.5" customHeight="1" x14ac:dyDescent="0.2">
      <c r="A109" s="21"/>
      <c r="B109" s="21"/>
      <c r="C109" s="9">
        <v>16304</v>
      </c>
      <c r="D109" s="47"/>
      <c r="E109" s="54"/>
      <c r="F109" s="54"/>
      <c r="G109" s="54"/>
      <c r="H109" s="45"/>
      <c r="I109" s="52"/>
      <c r="J109" s="54"/>
      <c r="K109" s="45"/>
      <c r="L109" s="14"/>
    </row>
    <row r="110" spans="1:12" ht="13.5" customHeight="1" x14ac:dyDescent="0.2">
      <c r="A110" s="21"/>
      <c r="B110" s="21"/>
      <c r="C110" s="9">
        <v>16281</v>
      </c>
      <c r="D110" s="47"/>
      <c r="E110" s="54"/>
      <c r="F110" s="54"/>
      <c r="G110" s="54"/>
      <c r="H110" s="45"/>
      <c r="I110" s="52"/>
      <c r="J110" s="54"/>
      <c r="K110" s="45"/>
      <c r="L110" s="14"/>
    </row>
    <row r="111" spans="1:12" ht="13.5" customHeight="1" x14ac:dyDescent="0.2">
      <c r="A111" s="21"/>
      <c r="B111" s="21"/>
      <c r="C111" s="9">
        <v>16303</v>
      </c>
      <c r="D111" s="47"/>
      <c r="E111" s="55"/>
      <c r="F111" s="55"/>
      <c r="G111" s="55"/>
      <c r="H111" s="46"/>
      <c r="I111" s="53"/>
      <c r="J111" s="55"/>
      <c r="K111" s="46"/>
      <c r="L111" s="14"/>
    </row>
    <row r="112" spans="1:12" s="26" customFormat="1" ht="13.5" customHeight="1" x14ac:dyDescent="0.15">
      <c r="A112" s="21">
        <v>71</v>
      </c>
      <c r="B112" s="29" t="s">
        <v>165</v>
      </c>
      <c r="C112" s="23" t="s">
        <v>166</v>
      </c>
      <c r="D112" s="24" t="s">
        <v>147</v>
      </c>
      <c r="E112" s="25">
        <f>SUM(E113:E115)</f>
        <v>163027748</v>
      </c>
      <c r="F112" s="25">
        <f t="shared" ref="F112:K112" si="11">SUM(F113:F115)</f>
        <v>0</v>
      </c>
      <c r="G112" s="25">
        <f t="shared" si="11"/>
        <v>27676955</v>
      </c>
      <c r="H112" s="25">
        <f t="shared" si="11"/>
        <v>135350793</v>
      </c>
      <c r="I112" s="25">
        <f t="shared" si="11"/>
        <v>13114800</v>
      </c>
      <c r="J112" s="25">
        <f t="shared" si="11"/>
        <v>0</v>
      </c>
      <c r="K112" s="25">
        <f t="shared" si="11"/>
        <v>176142548</v>
      </c>
      <c r="L112" s="25"/>
    </row>
    <row r="113" spans="1:12" ht="13.5" customHeight="1" x14ac:dyDescent="0.2">
      <c r="A113" s="21"/>
      <c r="B113" s="21"/>
      <c r="C113" s="9" t="s">
        <v>148</v>
      </c>
      <c r="D113" s="12" t="s">
        <v>121</v>
      </c>
      <c r="E113" s="14">
        <v>94551590</v>
      </c>
      <c r="F113" s="14"/>
      <c r="G113" s="14">
        <v>27676955</v>
      </c>
      <c r="H113" s="13">
        <f>E113-F113-G113</f>
        <v>66874635</v>
      </c>
      <c r="I113" s="27"/>
      <c r="J113" s="27"/>
      <c r="K113" s="13">
        <f>E113+I113</f>
        <v>94551590</v>
      </c>
      <c r="L113" s="14"/>
    </row>
    <row r="114" spans="1:12" ht="13.5" customHeight="1" x14ac:dyDescent="0.2">
      <c r="A114" s="21"/>
      <c r="B114" s="21"/>
      <c r="C114" s="9">
        <v>163</v>
      </c>
      <c r="D114" s="47" t="s">
        <v>147</v>
      </c>
      <c r="E114" s="51">
        <v>68476158</v>
      </c>
      <c r="F114" s="51"/>
      <c r="G114" s="51"/>
      <c r="H114" s="44">
        <f>E114-F114-G114</f>
        <v>68476158</v>
      </c>
      <c r="I114" s="51">
        <v>13114800</v>
      </c>
      <c r="J114" s="51"/>
      <c r="K114" s="44">
        <f>E114+I114</f>
        <v>81590958</v>
      </c>
      <c r="L114" s="14"/>
    </row>
    <row r="115" spans="1:12" ht="13.5" customHeight="1" x14ac:dyDescent="0.2">
      <c r="A115" s="21"/>
      <c r="B115" s="21"/>
      <c r="C115" s="9">
        <v>164</v>
      </c>
      <c r="D115" s="47"/>
      <c r="E115" s="57"/>
      <c r="F115" s="57"/>
      <c r="G115" s="57"/>
      <c r="H115" s="46"/>
      <c r="I115" s="53"/>
      <c r="J115" s="55"/>
      <c r="K115" s="46"/>
      <c r="L115" s="14"/>
    </row>
    <row r="116" spans="1:12" s="26" customFormat="1" ht="13.5" customHeight="1" x14ac:dyDescent="0.15">
      <c r="A116" s="21">
        <v>72</v>
      </c>
      <c r="B116" s="29" t="s">
        <v>167</v>
      </c>
      <c r="C116" s="23" t="s">
        <v>168</v>
      </c>
      <c r="D116" s="24" t="s">
        <v>147</v>
      </c>
      <c r="E116" s="25">
        <f>SUM(E117:E123)</f>
        <v>469994162</v>
      </c>
      <c r="F116" s="25">
        <f t="shared" ref="F116:K116" si="12">SUM(F117:F123)</f>
        <v>66853586</v>
      </c>
      <c r="G116" s="25">
        <f t="shared" si="12"/>
        <v>19651953</v>
      </c>
      <c r="H116" s="25">
        <f t="shared" si="12"/>
        <v>383488623</v>
      </c>
      <c r="I116" s="25">
        <f t="shared" si="12"/>
        <v>50075436</v>
      </c>
      <c r="J116" s="25">
        <f t="shared" si="12"/>
        <v>0</v>
      </c>
      <c r="K116" s="25">
        <f t="shared" si="12"/>
        <v>520069598</v>
      </c>
      <c r="L116" s="25"/>
    </row>
    <row r="117" spans="1:12" ht="13.5" customHeight="1" x14ac:dyDescent="0.2">
      <c r="A117" s="21"/>
      <c r="B117" s="21"/>
      <c r="C117" s="9" t="s">
        <v>148</v>
      </c>
      <c r="D117" s="12" t="s">
        <v>121</v>
      </c>
      <c r="E117" s="14">
        <f>262827679-350501</f>
        <v>262477178</v>
      </c>
      <c r="F117" s="14">
        <f>8427284-350501</f>
        <v>8076783</v>
      </c>
      <c r="G117" s="14">
        <v>19651953</v>
      </c>
      <c r="H117" s="13">
        <f>E117-F117-G117</f>
        <v>234748442</v>
      </c>
      <c r="I117" s="27"/>
      <c r="J117" s="27"/>
      <c r="K117" s="13">
        <f>E117+I117</f>
        <v>262477178</v>
      </c>
      <c r="L117" s="14"/>
    </row>
    <row r="118" spans="1:12" ht="13.5" customHeight="1" x14ac:dyDescent="0.2">
      <c r="A118" s="21"/>
      <c r="B118" s="21"/>
      <c r="C118" s="9">
        <v>70</v>
      </c>
      <c r="D118" s="47" t="s">
        <v>147</v>
      </c>
      <c r="E118" s="51">
        <f>223029740-30650259</f>
        <v>192379481</v>
      </c>
      <c r="F118" s="51">
        <f>89427062-30650259</f>
        <v>58776803</v>
      </c>
      <c r="G118" s="51"/>
      <c r="H118" s="44">
        <f>E118-F118-G118</f>
        <v>133602678</v>
      </c>
      <c r="I118" s="51">
        <v>50075436</v>
      </c>
      <c r="J118" s="51"/>
      <c r="K118" s="44">
        <f>E118+I118</f>
        <v>242454917</v>
      </c>
      <c r="L118" s="14"/>
    </row>
    <row r="119" spans="1:12" ht="13.5" customHeight="1" x14ac:dyDescent="0.2">
      <c r="A119" s="21"/>
      <c r="B119" s="21"/>
      <c r="C119" s="9">
        <v>73</v>
      </c>
      <c r="D119" s="47"/>
      <c r="E119" s="56"/>
      <c r="F119" s="56"/>
      <c r="G119" s="56"/>
      <c r="H119" s="45"/>
      <c r="I119" s="52"/>
      <c r="J119" s="54"/>
      <c r="K119" s="45"/>
      <c r="L119" s="14"/>
    </row>
    <row r="120" spans="1:12" ht="13.5" customHeight="1" x14ac:dyDescent="0.2">
      <c r="A120" s="21"/>
      <c r="B120" s="21"/>
      <c r="C120" s="9">
        <v>74</v>
      </c>
      <c r="D120" s="47"/>
      <c r="E120" s="56"/>
      <c r="F120" s="56"/>
      <c r="G120" s="56"/>
      <c r="H120" s="45"/>
      <c r="I120" s="52"/>
      <c r="J120" s="54"/>
      <c r="K120" s="45"/>
      <c r="L120" s="14"/>
    </row>
    <row r="121" spans="1:12" ht="13.5" customHeight="1" x14ac:dyDescent="0.2">
      <c r="A121" s="21"/>
      <c r="B121" s="21"/>
      <c r="C121" s="9">
        <v>178</v>
      </c>
      <c r="D121" s="47"/>
      <c r="E121" s="56"/>
      <c r="F121" s="56"/>
      <c r="G121" s="56"/>
      <c r="H121" s="45"/>
      <c r="I121" s="52"/>
      <c r="J121" s="54"/>
      <c r="K121" s="45"/>
      <c r="L121" s="14"/>
    </row>
    <row r="122" spans="1:12" ht="13.5" customHeight="1" x14ac:dyDescent="0.2">
      <c r="A122" s="21"/>
      <c r="B122" s="21"/>
      <c r="C122" s="9">
        <v>181</v>
      </c>
      <c r="D122" s="47"/>
      <c r="E122" s="57"/>
      <c r="F122" s="57"/>
      <c r="G122" s="57"/>
      <c r="H122" s="46"/>
      <c r="I122" s="53"/>
      <c r="J122" s="55"/>
      <c r="K122" s="46"/>
      <c r="L122" s="14"/>
    </row>
    <row r="123" spans="1:12" ht="13.5" customHeight="1" x14ac:dyDescent="0.2">
      <c r="A123" s="21"/>
      <c r="B123" s="21"/>
      <c r="C123" s="9">
        <v>700</v>
      </c>
      <c r="D123" s="12" t="s">
        <v>16</v>
      </c>
      <c r="E123" s="14">
        <v>15137503</v>
      </c>
      <c r="F123" s="14"/>
      <c r="G123" s="14"/>
      <c r="H123" s="13">
        <f>E123-F123-G123</f>
        <v>15137503</v>
      </c>
      <c r="I123" s="27"/>
      <c r="J123" s="27"/>
      <c r="K123" s="13">
        <f>E123+I123</f>
        <v>15137503</v>
      </c>
      <c r="L123" s="14"/>
    </row>
    <row r="124" spans="1:12" s="26" customFormat="1" ht="13.5" customHeight="1" x14ac:dyDescent="0.15">
      <c r="A124" s="21">
        <v>73</v>
      </c>
      <c r="B124" s="28" t="s">
        <v>169</v>
      </c>
      <c r="C124" s="23" t="s">
        <v>170</v>
      </c>
      <c r="D124" s="24" t="s">
        <v>147</v>
      </c>
      <c r="E124" s="25">
        <f>SUM(E125:E126)</f>
        <v>477101293</v>
      </c>
      <c r="F124" s="25">
        <f t="shared" ref="F124:K124" si="13">SUM(F125:F126)</f>
        <v>0</v>
      </c>
      <c r="G124" s="25">
        <f t="shared" si="13"/>
        <v>0</v>
      </c>
      <c r="H124" s="25">
        <f t="shared" si="13"/>
        <v>477101293</v>
      </c>
      <c r="I124" s="25">
        <f t="shared" si="13"/>
        <v>3548670</v>
      </c>
      <c r="J124" s="25">
        <f t="shared" si="13"/>
        <v>0</v>
      </c>
      <c r="K124" s="25">
        <f t="shared" si="13"/>
        <v>480649963</v>
      </c>
      <c r="L124" s="25"/>
    </row>
    <row r="125" spans="1:12" ht="13.5" customHeight="1" x14ac:dyDescent="0.2">
      <c r="A125" s="21"/>
      <c r="B125" s="21"/>
      <c r="C125" s="9" t="s">
        <v>148</v>
      </c>
      <c r="D125" s="12" t="s">
        <v>121</v>
      </c>
      <c r="E125" s="14">
        <v>399798722</v>
      </c>
      <c r="F125" s="14"/>
      <c r="G125" s="14"/>
      <c r="H125" s="13">
        <f>E125-F125-G125</f>
        <v>399798722</v>
      </c>
      <c r="I125" s="27"/>
      <c r="J125" s="27"/>
      <c r="K125" s="13">
        <f>E125+I125</f>
        <v>399798722</v>
      </c>
      <c r="L125" s="14"/>
    </row>
    <row r="126" spans="1:12" ht="13.5" customHeight="1" x14ac:dyDescent="0.2">
      <c r="A126" s="21"/>
      <c r="B126" s="21"/>
      <c r="C126" s="9">
        <v>53</v>
      </c>
      <c r="D126" s="12" t="s">
        <v>147</v>
      </c>
      <c r="E126" s="14">
        <v>77302571</v>
      </c>
      <c r="F126" s="14"/>
      <c r="G126" s="14"/>
      <c r="H126" s="13">
        <f>E126-F126-G126</f>
        <v>77302571</v>
      </c>
      <c r="I126" s="14">
        <v>3548670</v>
      </c>
      <c r="J126" s="14"/>
      <c r="K126" s="13">
        <f>E126+I126</f>
        <v>80851241</v>
      </c>
      <c r="L126" s="14"/>
    </row>
    <row r="127" spans="1:12" s="26" customFormat="1" ht="13.5" customHeight="1" x14ac:dyDescent="0.15">
      <c r="A127" s="21">
        <v>74</v>
      </c>
      <c r="B127" s="29" t="s">
        <v>171</v>
      </c>
      <c r="C127" s="23" t="s">
        <v>172</v>
      </c>
      <c r="D127" s="24" t="s">
        <v>147</v>
      </c>
      <c r="E127" s="25">
        <f>SUM(E128:E130)</f>
        <v>210402166</v>
      </c>
      <c r="F127" s="25">
        <f t="shared" ref="F127:K127" si="14">SUM(F128:F130)</f>
        <v>0</v>
      </c>
      <c r="G127" s="25">
        <f t="shared" si="14"/>
        <v>0</v>
      </c>
      <c r="H127" s="25">
        <f t="shared" si="14"/>
        <v>210402166</v>
      </c>
      <c r="I127" s="25">
        <f t="shared" si="14"/>
        <v>25881200</v>
      </c>
      <c r="J127" s="25">
        <f t="shared" si="14"/>
        <v>0</v>
      </c>
      <c r="K127" s="25">
        <f t="shared" si="14"/>
        <v>236283366</v>
      </c>
      <c r="L127" s="25"/>
    </row>
    <row r="128" spans="1:12" ht="13.5" customHeight="1" x14ac:dyDescent="0.2">
      <c r="A128" s="21"/>
      <c r="B128" s="21"/>
      <c r="C128" s="9" t="s">
        <v>148</v>
      </c>
      <c r="D128" s="12" t="s">
        <v>107</v>
      </c>
      <c r="E128" s="14">
        <v>64171577</v>
      </c>
      <c r="F128" s="14"/>
      <c r="G128" s="14"/>
      <c r="H128" s="13">
        <f>E128-F128-G128</f>
        <v>64171577</v>
      </c>
      <c r="I128" s="27"/>
      <c r="J128" s="27"/>
      <c r="K128" s="13">
        <f>E128+I128</f>
        <v>64171577</v>
      </c>
      <c r="L128" s="14"/>
    </row>
    <row r="129" spans="1:12" ht="13.5" customHeight="1" x14ac:dyDescent="0.2">
      <c r="A129" s="21"/>
      <c r="B129" s="21"/>
      <c r="C129" s="9">
        <v>191</v>
      </c>
      <c r="D129" s="41" t="s">
        <v>147</v>
      </c>
      <c r="E129" s="51">
        <v>146230589</v>
      </c>
      <c r="F129" s="51"/>
      <c r="G129" s="51"/>
      <c r="H129" s="44">
        <f>E129-F129-G129</f>
        <v>146230589</v>
      </c>
      <c r="I129" s="51">
        <v>25881200</v>
      </c>
      <c r="J129" s="51"/>
      <c r="K129" s="44">
        <f>E129+I129</f>
        <v>172111789</v>
      </c>
      <c r="L129" s="14"/>
    </row>
    <row r="130" spans="1:12" ht="13.5" customHeight="1" x14ac:dyDescent="0.2">
      <c r="A130" s="21"/>
      <c r="B130" s="21"/>
      <c r="C130" s="9">
        <v>295</v>
      </c>
      <c r="D130" s="42"/>
      <c r="E130" s="57"/>
      <c r="F130" s="57"/>
      <c r="G130" s="57"/>
      <c r="H130" s="46"/>
      <c r="I130" s="60"/>
      <c r="J130" s="61"/>
      <c r="K130" s="46"/>
      <c r="L130" s="14"/>
    </row>
    <row r="131" spans="1:12" s="26" customFormat="1" ht="13.5" customHeight="1" x14ac:dyDescent="0.15">
      <c r="A131" s="21">
        <v>75</v>
      </c>
      <c r="B131" s="22" t="s">
        <v>173</v>
      </c>
      <c r="C131" s="23" t="s">
        <v>174</v>
      </c>
      <c r="D131" s="24" t="s">
        <v>147</v>
      </c>
      <c r="E131" s="25">
        <f>SUM(E132:E134)</f>
        <v>30351519</v>
      </c>
      <c r="F131" s="25">
        <f t="shared" ref="F131:K131" si="15">SUM(F132:F134)</f>
        <v>884901</v>
      </c>
      <c r="G131" s="25">
        <f t="shared" si="15"/>
        <v>0</v>
      </c>
      <c r="H131" s="25">
        <f t="shared" si="15"/>
        <v>29466618</v>
      </c>
      <c r="I131" s="25">
        <f t="shared" si="15"/>
        <v>6547291</v>
      </c>
      <c r="J131" s="25">
        <f t="shared" si="15"/>
        <v>381165</v>
      </c>
      <c r="K131" s="25">
        <f t="shared" si="15"/>
        <v>36898810</v>
      </c>
      <c r="L131" s="25"/>
    </row>
    <row r="132" spans="1:12" ht="13.5" customHeight="1" x14ac:dyDescent="0.2">
      <c r="A132" s="21"/>
      <c r="B132" s="21"/>
      <c r="C132" s="9" t="s">
        <v>148</v>
      </c>
      <c r="D132" s="12" t="s">
        <v>121</v>
      </c>
      <c r="E132" s="14">
        <f>18019602-807467</f>
        <v>17212135</v>
      </c>
      <c r="F132" s="14">
        <f>1406309-807467</f>
        <v>598842</v>
      </c>
      <c r="G132" s="14"/>
      <c r="H132" s="13">
        <f>E132-F132-G132</f>
        <v>16613293</v>
      </c>
      <c r="I132" s="27"/>
      <c r="J132" s="27"/>
      <c r="K132" s="13">
        <f>E132+I132</f>
        <v>17212135</v>
      </c>
      <c r="L132" s="14"/>
    </row>
    <row r="133" spans="1:12" ht="13.5" customHeight="1" x14ac:dyDescent="0.2">
      <c r="A133" s="21"/>
      <c r="B133" s="21"/>
      <c r="C133" s="9">
        <v>14038</v>
      </c>
      <c r="D133" s="47" t="s">
        <v>147</v>
      </c>
      <c r="E133" s="51">
        <v>13139384</v>
      </c>
      <c r="F133" s="51">
        <v>286059</v>
      </c>
      <c r="G133" s="51"/>
      <c r="H133" s="44">
        <f>E133-F133-G133</f>
        <v>12853325</v>
      </c>
      <c r="I133" s="51">
        <v>6547291</v>
      </c>
      <c r="J133" s="51">
        <v>381165</v>
      </c>
      <c r="K133" s="44">
        <f>E133+I133</f>
        <v>19686675</v>
      </c>
      <c r="L133" s="14"/>
    </row>
    <row r="134" spans="1:12" ht="13.5" customHeight="1" x14ac:dyDescent="0.2">
      <c r="A134" s="21"/>
      <c r="B134" s="21"/>
      <c r="C134" s="9">
        <v>14153</v>
      </c>
      <c r="D134" s="47"/>
      <c r="E134" s="55"/>
      <c r="F134" s="55"/>
      <c r="G134" s="55"/>
      <c r="H134" s="46"/>
      <c r="I134" s="53"/>
      <c r="J134" s="55"/>
      <c r="K134" s="46"/>
      <c r="L134" s="14"/>
    </row>
    <row r="135" spans="1:12" s="26" customFormat="1" ht="13.5" customHeight="1" x14ac:dyDescent="0.15">
      <c r="A135" s="21">
        <v>76</v>
      </c>
      <c r="B135" s="28" t="s">
        <v>175</v>
      </c>
      <c r="C135" s="23" t="s">
        <v>176</v>
      </c>
      <c r="D135" s="24" t="s">
        <v>177</v>
      </c>
      <c r="E135" s="25">
        <f>SUM(E136:E147)</f>
        <v>2953567253</v>
      </c>
      <c r="F135" s="25">
        <f t="shared" ref="F135:K135" si="16">SUM(F136:F147)</f>
        <v>2867403625</v>
      </c>
      <c r="G135" s="25">
        <f t="shared" si="16"/>
        <v>0</v>
      </c>
      <c r="H135" s="25">
        <f t="shared" si="16"/>
        <v>86163628</v>
      </c>
      <c r="I135" s="25">
        <f t="shared" si="16"/>
        <v>214731625</v>
      </c>
      <c r="J135" s="25">
        <f t="shared" si="16"/>
        <v>214731625</v>
      </c>
      <c r="K135" s="25">
        <f t="shared" si="16"/>
        <v>3168298878</v>
      </c>
      <c r="L135" s="25"/>
    </row>
    <row r="136" spans="1:12" ht="13.5" customHeight="1" x14ac:dyDescent="0.2">
      <c r="A136" s="21"/>
      <c r="B136" s="21"/>
      <c r="C136" s="9" t="s">
        <v>148</v>
      </c>
      <c r="D136" s="12" t="s">
        <v>107</v>
      </c>
      <c r="E136" s="14">
        <f>457342908+64764610</f>
        <v>522107518</v>
      </c>
      <c r="F136" s="14">
        <f>457342908+64764610</f>
        <v>522107518</v>
      </c>
      <c r="G136" s="14"/>
      <c r="H136" s="13">
        <f>E136-F136-G136</f>
        <v>0</v>
      </c>
      <c r="I136" s="27"/>
      <c r="J136" s="27"/>
      <c r="K136" s="13">
        <f>E136+I136</f>
        <v>522107518</v>
      </c>
      <c r="L136" s="14"/>
    </row>
    <row r="137" spans="1:12" ht="13.5" customHeight="1" x14ac:dyDescent="0.2">
      <c r="A137" s="21"/>
      <c r="B137" s="21"/>
      <c r="C137" s="9">
        <v>22100</v>
      </c>
      <c r="D137" s="47" t="s">
        <v>177</v>
      </c>
      <c r="E137" s="51">
        <f>2336438983-124412+94579821+565343</f>
        <v>2431459735</v>
      </c>
      <c r="F137" s="51">
        <f>2250716286+94579821</f>
        <v>2345296107</v>
      </c>
      <c r="G137" s="51"/>
      <c r="H137" s="44">
        <f>E137-F137-G137</f>
        <v>86163628</v>
      </c>
      <c r="I137" s="51">
        <v>214731625</v>
      </c>
      <c r="J137" s="51">
        <v>214731625</v>
      </c>
      <c r="K137" s="44">
        <f>E137+I137</f>
        <v>2646191360</v>
      </c>
      <c r="L137" s="14"/>
    </row>
    <row r="138" spans="1:12" ht="13.5" customHeight="1" x14ac:dyDescent="0.2">
      <c r="A138" s="21"/>
      <c r="B138" s="21"/>
      <c r="C138" s="9">
        <v>22101</v>
      </c>
      <c r="D138" s="47"/>
      <c r="E138" s="54"/>
      <c r="F138" s="54"/>
      <c r="G138" s="54"/>
      <c r="H138" s="45"/>
      <c r="I138" s="52"/>
      <c r="J138" s="54"/>
      <c r="K138" s="45"/>
      <c r="L138" s="14"/>
    </row>
    <row r="139" spans="1:12" ht="13.5" customHeight="1" x14ac:dyDescent="0.2">
      <c r="A139" s="21"/>
      <c r="B139" s="21"/>
      <c r="C139" s="9">
        <v>22102</v>
      </c>
      <c r="D139" s="47"/>
      <c r="E139" s="54"/>
      <c r="F139" s="54"/>
      <c r="G139" s="54"/>
      <c r="H139" s="45"/>
      <c r="I139" s="52"/>
      <c r="J139" s="54"/>
      <c r="K139" s="45"/>
      <c r="L139" s="14"/>
    </row>
    <row r="140" spans="1:12" ht="13.5" customHeight="1" x14ac:dyDescent="0.2">
      <c r="A140" s="21"/>
      <c r="B140" s="21"/>
      <c r="C140" s="9">
        <v>22103</v>
      </c>
      <c r="D140" s="47"/>
      <c r="E140" s="54"/>
      <c r="F140" s="54"/>
      <c r="G140" s="54"/>
      <c r="H140" s="45"/>
      <c r="I140" s="52"/>
      <c r="J140" s="54"/>
      <c r="K140" s="45"/>
      <c r="L140" s="14"/>
    </row>
    <row r="141" spans="1:12" ht="13.5" customHeight="1" x14ac:dyDescent="0.2">
      <c r="A141" s="21"/>
      <c r="B141" s="21"/>
      <c r="C141" s="9">
        <v>22104</v>
      </c>
      <c r="D141" s="47"/>
      <c r="E141" s="54"/>
      <c r="F141" s="54"/>
      <c r="G141" s="54"/>
      <c r="H141" s="45"/>
      <c r="I141" s="52"/>
      <c r="J141" s="54"/>
      <c r="K141" s="45"/>
      <c r="L141" s="14"/>
    </row>
    <row r="142" spans="1:12" ht="13.5" customHeight="1" x14ac:dyDescent="0.2">
      <c r="A142" s="21"/>
      <c r="B142" s="21"/>
      <c r="C142" s="9">
        <v>22105</v>
      </c>
      <c r="D142" s="47"/>
      <c r="E142" s="54"/>
      <c r="F142" s="54"/>
      <c r="G142" s="54"/>
      <c r="H142" s="45"/>
      <c r="I142" s="52"/>
      <c r="J142" s="54"/>
      <c r="K142" s="45"/>
      <c r="L142" s="14"/>
    </row>
    <row r="143" spans="1:12" ht="13.5" customHeight="1" x14ac:dyDescent="0.2">
      <c r="A143" s="21"/>
      <c r="B143" s="21"/>
      <c r="C143" s="9">
        <v>22106</v>
      </c>
      <c r="D143" s="47"/>
      <c r="E143" s="54"/>
      <c r="F143" s="54"/>
      <c r="G143" s="54"/>
      <c r="H143" s="45"/>
      <c r="I143" s="52"/>
      <c r="J143" s="54"/>
      <c r="K143" s="45"/>
      <c r="L143" s="14"/>
    </row>
    <row r="144" spans="1:12" ht="13.5" customHeight="1" x14ac:dyDescent="0.2">
      <c r="A144" s="21"/>
      <c r="B144" s="21"/>
      <c r="C144" s="9">
        <v>22107</v>
      </c>
      <c r="D144" s="47"/>
      <c r="E144" s="54"/>
      <c r="F144" s="54"/>
      <c r="G144" s="54"/>
      <c r="H144" s="45"/>
      <c r="I144" s="52"/>
      <c r="J144" s="54"/>
      <c r="K144" s="45"/>
      <c r="L144" s="14"/>
    </row>
    <row r="145" spans="1:12" ht="13.5" customHeight="1" x14ac:dyDescent="0.2">
      <c r="A145" s="21"/>
      <c r="B145" s="21"/>
      <c r="C145" s="9" t="s">
        <v>178</v>
      </c>
      <c r="D145" s="47"/>
      <c r="E145" s="54"/>
      <c r="F145" s="54"/>
      <c r="G145" s="54"/>
      <c r="H145" s="45"/>
      <c r="I145" s="52"/>
      <c r="J145" s="54"/>
      <c r="K145" s="45"/>
      <c r="L145" s="14"/>
    </row>
    <row r="146" spans="1:12" ht="13.5" customHeight="1" x14ac:dyDescent="0.2">
      <c r="A146" s="21"/>
      <c r="B146" s="21"/>
      <c r="C146" s="9" t="s">
        <v>179</v>
      </c>
      <c r="D146" s="47"/>
      <c r="E146" s="54"/>
      <c r="F146" s="54"/>
      <c r="G146" s="54"/>
      <c r="H146" s="45"/>
      <c r="I146" s="52"/>
      <c r="J146" s="54"/>
      <c r="K146" s="45"/>
      <c r="L146" s="14"/>
    </row>
    <row r="147" spans="1:12" ht="13.5" customHeight="1" x14ac:dyDescent="0.2">
      <c r="A147" s="21"/>
      <c r="B147" s="21"/>
      <c r="C147" s="9" t="s">
        <v>180</v>
      </c>
      <c r="D147" s="47"/>
      <c r="E147" s="55"/>
      <c r="F147" s="55"/>
      <c r="G147" s="55"/>
      <c r="H147" s="46"/>
      <c r="I147" s="53"/>
      <c r="J147" s="55"/>
      <c r="K147" s="46"/>
      <c r="L147" s="14"/>
    </row>
    <row r="148" spans="1:12" s="26" customFormat="1" ht="13.5" customHeight="1" x14ac:dyDescent="0.15">
      <c r="A148" s="21">
        <v>77</v>
      </c>
      <c r="B148" s="28" t="s">
        <v>181</v>
      </c>
      <c r="C148" s="23" t="s">
        <v>182</v>
      </c>
      <c r="D148" s="24" t="s">
        <v>177</v>
      </c>
      <c r="E148" s="25">
        <f>SUM(E149:E159)</f>
        <v>359339968</v>
      </c>
      <c r="F148" s="25">
        <f t="shared" ref="F148:K148" si="17">SUM(F149:F159)</f>
        <v>0</v>
      </c>
      <c r="G148" s="25">
        <f t="shared" si="17"/>
        <v>20544537</v>
      </c>
      <c r="H148" s="25">
        <f t="shared" si="17"/>
        <v>338795431</v>
      </c>
      <c r="I148" s="25">
        <f t="shared" si="17"/>
        <v>676029479</v>
      </c>
      <c r="J148" s="25">
        <f t="shared" si="17"/>
        <v>0</v>
      </c>
      <c r="K148" s="25">
        <f t="shared" si="17"/>
        <v>1035369447</v>
      </c>
      <c r="L148" s="25"/>
    </row>
    <row r="149" spans="1:12" ht="13.5" customHeight="1" x14ac:dyDescent="0.2">
      <c r="A149" s="21"/>
      <c r="B149" s="21"/>
      <c r="C149" s="9" t="s">
        <v>148</v>
      </c>
      <c r="D149" s="12" t="s">
        <v>107</v>
      </c>
      <c r="E149" s="14">
        <v>49037591</v>
      </c>
      <c r="F149" s="14"/>
      <c r="G149" s="14">
        <v>20544537</v>
      </c>
      <c r="H149" s="13">
        <f>E149-F149-G149</f>
        <v>28493054</v>
      </c>
      <c r="I149" s="27"/>
      <c r="J149" s="27"/>
      <c r="K149" s="13">
        <f>E149+I149</f>
        <v>49037591</v>
      </c>
      <c r="L149" s="14"/>
    </row>
    <row r="150" spans="1:12" ht="13.5" customHeight="1" x14ac:dyDescent="0.2">
      <c r="A150" s="21"/>
      <c r="B150" s="21"/>
      <c r="C150" s="9">
        <v>22137</v>
      </c>
      <c r="D150" s="47" t="s">
        <v>177</v>
      </c>
      <c r="E150" s="51">
        <v>310302377</v>
      </c>
      <c r="F150" s="51"/>
      <c r="G150" s="51"/>
      <c r="H150" s="44">
        <f>E150-F150-G150</f>
        <v>310302377</v>
      </c>
      <c r="I150" s="51">
        <v>676029479</v>
      </c>
      <c r="J150" s="51"/>
      <c r="K150" s="44">
        <f>E150+I150</f>
        <v>986331856</v>
      </c>
      <c r="L150" s="14"/>
    </row>
    <row r="151" spans="1:12" ht="13.5" customHeight="1" x14ac:dyDescent="0.2">
      <c r="A151" s="21"/>
      <c r="B151" s="21"/>
      <c r="C151" s="9">
        <v>22139</v>
      </c>
      <c r="D151" s="47"/>
      <c r="E151" s="54"/>
      <c r="F151" s="54"/>
      <c r="G151" s="54"/>
      <c r="H151" s="45"/>
      <c r="I151" s="52"/>
      <c r="J151" s="54"/>
      <c r="K151" s="45"/>
      <c r="L151" s="14"/>
    </row>
    <row r="152" spans="1:12" ht="13.5" customHeight="1" x14ac:dyDescent="0.2">
      <c r="A152" s="21"/>
      <c r="B152" s="21"/>
      <c r="C152" s="9">
        <v>22140</v>
      </c>
      <c r="D152" s="47"/>
      <c r="E152" s="54"/>
      <c r="F152" s="54"/>
      <c r="G152" s="54"/>
      <c r="H152" s="45"/>
      <c r="I152" s="52"/>
      <c r="J152" s="54"/>
      <c r="K152" s="45"/>
      <c r="L152" s="14"/>
    </row>
    <row r="153" spans="1:12" ht="13.5" customHeight="1" x14ac:dyDescent="0.2">
      <c r="A153" s="21"/>
      <c r="B153" s="21"/>
      <c r="C153" s="9">
        <v>22187</v>
      </c>
      <c r="D153" s="47"/>
      <c r="E153" s="54"/>
      <c r="F153" s="54"/>
      <c r="G153" s="54"/>
      <c r="H153" s="45"/>
      <c r="I153" s="52"/>
      <c r="J153" s="54"/>
      <c r="K153" s="45"/>
      <c r="L153" s="14"/>
    </row>
    <row r="154" spans="1:12" ht="13.5" customHeight="1" x14ac:dyDescent="0.2">
      <c r="A154" s="21"/>
      <c r="B154" s="21"/>
      <c r="C154" s="9">
        <v>22223</v>
      </c>
      <c r="D154" s="47"/>
      <c r="E154" s="54"/>
      <c r="F154" s="54"/>
      <c r="G154" s="54"/>
      <c r="H154" s="45"/>
      <c r="I154" s="52"/>
      <c r="J154" s="54"/>
      <c r="K154" s="45"/>
      <c r="L154" s="14"/>
    </row>
    <row r="155" spans="1:12" ht="13.5" customHeight="1" x14ac:dyDescent="0.2">
      <c r="A155" s="21"/>
      <c r="B155" s="21"/>
      <c r="C155" s="9">
        <v>22224</v>
      </c>
      <c r="D155" s="47"/>
      <c r="E155" s="54"/>
      <c r="F155" s="54"/>
      <c r="G155" s="54"/>
      <c r="H155" s="45"/>
      <c r="I155" s="52"/>
      <c r="J155" s="54"/>
      <c r="K155" s="45"/>
      <c r="L155" s="14"/>
    </row>
    <row r="156" spans="1:12" ht="13.5" customHeight="1" x14ac:dyDescent="0.2">
      <c r="A156" s="21"/>
      <c r="B156" s="21"/>
      <c r="C156" s="9">
        <v>22349</v>
      </c>
      <c r="D156" s="47"/>
      <c r="E156" s="54"/>
      <c r="F156" s="54"/>
      <c r="G156" s="54"/>
      <c r="H156" s="45"/>
      <c r="I156" s="52"/>
      <c r="J156" s="54"/>
      <c r="K156" s="45"/>
      <c r="L156" s="14"/>
    </row>
    <row r="157" spans="1:12" ht="13.5" customHeight="1" x14ac:dyDescent="0.2">
      <c r="A157" s="21"/>
      <c r="B157" s="21"/>
      <c r="C157" s="9">
        <v>22368</v>
      </c>
      <c r="D157" s="47"/>
      <c r="E157" s="54"/>
      <c r="F157" s="54"/>
      <c r="G157" s="54"/>
      <c r="H157" s="45"/>
      <c r="I157" s="52"/>
      <c r="J157" s="54"/>
      <c r="K157" s="45"/>
      <c r="L157" s="14"/>
    </row>
    <row r="158" spans="1:12" ht="13.5" customHeight="1" x14ac:dyDescent="0.2">
      <c r="A158" s="21"/>
      <c r="B158" s="21"/>
      <c r="C158" s="9">
        <v>22569</v>
      </c>
      <c r="D158" s="47"/>
      <c r="E158" s="54"/>
      <c r="F158" s="54"/>
      <c r="G158" s="54"/>
      <c r="H158" s="45"/>
      <c r="I158" s="52"/>
      <c r="J158" s="54"/>
      <c r="K158" s="45"/>
      <c r="L158" s="14"/>
    </row>
    <row r="159" spans="1:12" ht="13.5" customHeight="1" x14ac:dyDescent="0.2">
      <c r="A159" s="21"/>
      <c r="B159" s="21"/>
      <c r="C159" s="9">
        <v>22570</v>
      </c>
      <c r="D159" s="47"/>
      <c r="E159" s="55"/>
      <c r="F159" s="55"/>
      <c r="G159" s="55"/>
      <c r="H159" s="46"/>
      <c r="I159" s="53"/>
      <c r="J159" s="55"/>
      <c r="K159" s="46"/>
      <c r="L159" s="14"/>
    </row>
    <row r="160" spans="1:12" s="26" customFormat="1" ht="13.5" customHeight="1" x14ac:dyDescent="0.15">
      <c r="A160" s="21">
        <v>78</v>
      </c>
      <c r="B160" s="29" t="s">
        <v>183</v>
      </c>
      <c r="C160" s="23" t="s">
        <v>184</v>
      </c>
      <c r="D160" s="24" t="s">
        <v>185</v>
      </c>
      <c r="E160" s="25">
        <f>SUM(E161:E165)</f>
        <v>162763345</v>
      </c>
      <c r="F160" s="25">
        <f t="shared" ref="F160:K160" si="18">SUM(F161:F165)</f>
        <v>0</v>
      </c>
      <c r="G160" s="25">
        <f t="shared" si="18"/>
        <v>0</v>
      </c>
      <c r="H160" s="25">
        <f t="shared" si="18"/>
        <v>162763345</v>
      </c>
      <c r="I160" s="25">
        <f t="shared" si="18"/>
        <v>5691764</v>
      </c>
      <c r="J160" s="25">
        <f t="shared" si="18"/>
        <v>0</v>
      </c>
      <c r="K160" s="25">
        <f t="shared" si="18"/>
        <v>168455109</v>
      </c>
      <c r="L160" s="25"/>
    </row>
    <row r="161" spans="1:12" ht="13.5" customHeight="1" x14ac:dyDescent="0.2">
      <c r="A161" s="21"/>
      <c r="B161" s="21"/>
      <c r="C161" s="9" t="s">
        <v>148</v>
      </c>
      <c r="D161" s="12" t="s">
        <v>107</v>
      </c>
      <c r="E161" s="14">
        <v>64711183</v>
      </c>
      <c r="F161" s="14"/>
      <c r="G161" s="14"/>
      <c r="H161" s="13">
        <f>E161-F161-G161</f>
        <v>64711183</v>
      </c>
      <c r="I161" s="27"/>
      <c r="J161" s="27"/>
      <c r="K161" s="13">
        <f>E161+I161</f>
        <v>64711183</v>
      </c>
      <c r="L161" s="14"/>
    </row>
    <row r="162" spans="1:12" ht="13.5" customHeight="1" x14ac:dyDescent="0.2">
      <c r="A162" s="21"/>
      <c r="B162" s="21"/>
      <c r="C162" s="9" t="s">
        <v>186</v>
      </c>
      <c r="D162" s="47" t="s">
        <v>177</v>
      </c>
      <c r="E162" s="51">
        <v>98052162</v>
      </c>
      <c r="F162" s="51"/>
      <c r="G162" s="51"/>
      <c r="H162" s="44">
        <f>E162-F162-G162</f>
        <v>98052162</v>
      </c>
      <c r="I162" s="51">
        <v>5691764</v>
      </c>
      <c r="J162" s="51"/>
      <c r="K162" s="44">
        <f>E162+I162</f>
        <v>103743926</v>
      </c>
      <c r="L162" s="14"/>
    </row>
    <row r="163" spans="1:12" ht="13.5" customHeight="1" x14ac:dyDescent="0.2">
      <c r="A163" s="21"/>
      <c r="B163" s="21"/>
      <c r="C163" s="9" t="s">
        <v>187</v>
      </c>
      <c r="D163" s="47"/>
      <c r="E163" s="54"/>
      <c r="F163" s="54"/>
      <c r="G163" s="54"/>
      <c r="H163" s="45"/>
      <c r="I163" s="52"/>
      <c r="J163" s="54"/>
      <c r="K163" s="45"/>
      <c r="L163" s="14"/>
    </row>
    <row r="164" spans="1:12" ht="13.5" customHeight="1" x14ac:dyDescent="0.2">
      <c r="A164" s="21"/>
      <c r="B164" s="21"/>
      <c r="C164" s="9" t="s">
        <v>188</v>
      </c>
      <c r="D164" s="47"/>
      <c r="E164" s="54"/>
      <c r="F164" s="54"/>
      <c r="G164" s="54"/>
      <c r="H164" s="45"/>
      <c r="I164" s="52"/>
      <c r="J164" s="54"/>
      <c r="K164" s="45"/>
      <c r="L164" s="14"/>
    </row>
    <row r="165" spans="1:12" ht="13.5" customHeight="1" x14ac:dyDescent="0.2">
      <c r="A165" s="21"/>
      <c r="B165" s="21"/>
      <c r="C165" s="9" t="s">
        <v>189</v>
      </c>
      <c r="D165" s="47"/>
      <c r="E165" s="55"/>
      <c r="F165" s="55"/>
      <c r="G165" s="55"/>
      <c r="H165" s="46"/>
      <c r="I165" s="53"/>
      <c r="J165" s="55"/>
      <c r="K165" s="46"/>
      <c r="L165" s="14"/>
    </row>
    <row r="166" spans="1:12" s="26" customFormat="1" ht="13.5" customHeight="1" x14ac:dyDescent="0.15">
      <c r="A166" s="21">
        <v>79</v>
      </c>
      <c r="B166" s="29" t="s">
        <v>190</v>
      </c>
      <c r="C166" s="23" t="s">
        <v>191</v>
      </c>
      <c r="D166" s="24" t="s">
        <v>177</v>
      </c>
      <c r="E166" s="25">
        <f>SUM(E167:E173)</f>
        <v>588465163</v>
      </c>
      <c r="F166" s="25">
        <f t="shared" ref="F166:K166" si="19">SUM(F167:F173)</f>
        <v>0</v>
      </c>
      <c r="G166" s="25">
        <f t="shared" si="19"/>
        <v>0</v>
      </c>
      <c r="H166" s="25">
        <f t="shared" si="19"/>
        <v>588465163</v>
      </c>
      <c r="I166" s="25">
        <f t="shared" si="19"/>
        <v>261936868</v>
      </c>
      <c r="J166" s="25">
        <f t="shared" si="19"/>
        <v>0</v>
      </c>
      <c r="K166" s="25">
        <f t="shared" si="19"/>
        <v>850402031</v>
      </c>
      <c r="L166" s="25"/>
    </row>
    <row r="167" spans="1:12" ht="13.5" customHeight="1" x14ac:dyDescent="0.2">
      <c r="A167" s="21"/>
      <c r="B167" s="21"/>
      <c r="C167" s="9" t="s">
        <v>148</v>
      </c>
      <c r="D167" s="12" t="s">
        <v>107</v>
      </c>
      <c r="E167" s="14">
        <v>184748808</v>
      </c>
      <c r="F167" s="14"/>
      <c r="G167" s="14"/>
      <c r="H167" s="13">
        <f>E167-F167-G167</f>
        <v>184748808</v>
      </c>
      <c r="I167" s="27"/>
      <c r="J167" s="27"/>
      <c r="K167" s="13">
        <f>E167+I167</f>
        <v>184748808</v>
      </c>
      <c r="L167" s="14"/>
    </row>
    <row r="168" spans="1:12" ht="13.5" customHeight="1" x14ac:dyDescent="0.2">
      <c r="A168" s="21"/>
      <c r="B168" s="21"/>
      <c r="C168" s="9" t="s">
        <v>192</v>
      </c>
      <c r="D168" s="47" t="s">
        <v>177</v>
      </c>
      <c r="E168" s="51">
        <f>403929963-213608</f>
        <v>403716355</v>
      </c>
      <c r="F168" s="30"/>
      <c r="G168" s="30"/>
      <c r="H168" s="44">
        <f>E168-F168-G168</f>
        <v>403716355</v>
      </c>
      <c r="I168" s="51">
        <v>261936868</v>
      </c>
      <c r="J168" s="51"/>
      <c r="K168" s="44">
        <f>E168+I168</f>
        <v>665653223</v>
      </c>
      <c r="L168" s="14"/>
    </row>
    <row r="169" spans="1:12" ht="13.5" customHeight="1" x14ac:dyDescent="0.2">
      <c r="A169" s="21"/>
      <c r="B169" s="21"/>
      <c r="C169" s="9" t="s">
        <v>193</v>
      </c>
      <c r="D169" s="47"/>
      <c r="E169" s="54"/>
      <c r="F169" s="31"/>
      <c r="G169" s="31"/>
      <c r="H169" s="45"/>
      <c r="I169" s="52"/>
      <c r="J169" s="54"/>
      <c r="K169" s="45"/>
      <c r="L169" s="14"/>
    </row>
    <row r="170" spans="1:12" ht="13.5" customHeight="1" x14ac:dyDescent="0.2">
      <c r="A170" s="21"/>
      <c r="B170" s="21"/>
      <c r="C170" s="9" t="s">
        <v>194</v>
      </c>
      <c r="D170" s="47"/>
      <c r="E170" s="54"/>
      <c r="F170" s="31"/>
      <c r="G170" s="31"/>
      <c r="H170" s="45"/>
      <c r="I170" s="52"/>
      <c r="J170" s="54"/>
      <c r="K170" s="45"/>
      <c r="L170" s="14"/>
    </row>
    <row r="171" spans="1:12" ht="13.5" customHeight="1" x14ac:dyDescent="0.2">
      <c r="A171" s="21"/>
      <c r="B171" s="21"/>
      <c r="C171" s="9" t="s">
        <v>195</v>
      </c>
      <c r="D171" s="47"/>
      <c r="E171" s="54"/>
      <c r="F171" s="31"/>
      <c r="G171" s="31"/>
      <c r="H171" s="45"/>
      <c r="I171" s="52"/>
      <c r="J171" s="54"/>
      <c r="K171" s="45"/>
      <c r="L171" s="14"/>
    </row>
    <row r="172" spans="1:12" ht="13.5" customHeight="1" x14ac:dyDescent="0.2">
      <c r="A172" s="21"/>
      <c r="B172" s="21"/>
      <c r="C172" s="9" t="s">
        <v>196</v>
      </c>
      <c r="D172" s="47"/>
      <c r="E172" s="54"/>
      <c r="F172" s="31"/>
      <c r="G172" s="31"/>
      <c r="H172" s="45"/>
      <c r="I172" s="52"/>
      <c r="J172" s="54"/>
      <c r="K172" s="45"/>
      <c r="L172" s="14"/>
    </row>
    <row r="173" spans="1:12" ht="13.5" customHeight="1" x14ac:dyDescent="0.2">
      <c r="A173" s="21"/>
      <c r="B173" s="21"/>
      <c r="C173" s="9" t="s">
        <v>197</v>
      </c>
      <c r="D173" s="47"/>
      <c r="E173" s="55"/>
      <c r="F173" s="32"/>
      <c r="G173" s="32"/>
      <c r="H173" s="46"/>
      <c r="I173" s="53"/>
      <c r="J173" s="55"/>
      <c r="K173" s="46"/>
      <c r="L173" s="14"/>
    </row>
    <row r="174" spans="1:12" s="26" customFormat="1" ht="13.5" customHeight="1" x14ac:dyDescent="0.15">
      <c r="A174" s="21">
        <v>80</v>
      </c>
      <c r="B174" s="29" t="s">
        <v>198</v>
      </c>
      <c r="C174" s="23" t="s">
        <v>199</v>
      </c>
      <c r="D174" s="24" t="s">
        <v>177</v>
      </c>
      <c r="E174" s="25">
        <f>SUM(E175:E182)</f>
        <v>778426158</v>
      </c>
      <c r="F174" s="25">
        <f t="shared" ref="F174:K174" si="20">SUM(F175:F182)</f>
        <v>2558648</v>
      </c>
      <c r="G174" s="25">
        <f t="shared" si="20"/>
        <v>44975796</v>
      </c>
      <c r="H174" s="25">
        <f t="shared" si="20"/>
        <v>730891714</v>
      </c>
      <c r="I174" s="25">
        <f t="shared" si="20"/>
        <v>172285276</v>
      </c>
      <c r="J174" s="25">
        <f t="shared" si="20"/>
        <v>0</v>
      </c>
      <c r="K174" s="25">
        <f t="shared" si="20"/>
        <v>950711434</v>
      </c>
      <c r="L174" s="25"/>
    </row>
    <row r="175" spans="1:12" ht="13.5" customHeight="1" x14ac:dyDescent="0.2">
      <c r="A175" s="21"/>
      <c r="B175" s="21"/>
      <c r="C175" s="9" t="s">
        <v>148</v>
      </c>
      <c r="D175" s="12" t="s">
        <v>107</v>
      </c>
      <c r="E175" s="14">
        <f>501639410-2526938</f>
        <v>499112472</v>
      </c>
      <c r="F175" s="14">
        <f>5085586-2526938</f>
        <v>2558648</v>
      </c>
      <c r="G175" s="14">
        <v>44975796</v>
      </c>
      <c r="H175" s="13">
        <f>E175-F175-G175</f>
        <v>451578028</v>
      </c>
      <c r="I175" s="27"/>
      <c r="J175" s="27"/>
      <c r="K175" s="13">
        <f>E175+I175</f>
        <v>499112472</v>
      </c>
      <c r="L175" s="14"/>
    </row>
    <row r="176" spans="1:12" ht="13.5" customHeight="1" x14ac:dyDescent="0.2">
      <c r="A176" s="21"/>
      <c r="B176" s="21"/>
      <c r="C176" s="9" t="s">
        <v>200</v>
      </c>
      <c r="D176" s="47" t="s">
        <v>177</v>
      </c>
      <c r="E176" s="51">
        <f>278475912+837774</f>
        <v>279313686</v>
      </c>
      <c r="F176" s="51"/>
      <c r="G176" s="51"/>
      <c r="H176" s="44">
        <f>E176-F176-G176</f>
        <v>279313686</v>
      </c>
      <c r="I176" s="51">
        <f>172279461+5815</f>
        <v>172285276</v>
      </c>
      <c r="J176" s="51"/>
      <c r="K176" s="44">
        <f>E176+I176</f>
        <v>451598962</v>
      </c>
      <c r="L176" s="14"/>
    </row>
    <row r="177" spans="1:12" ht="13.5" customHeight="1" x14ac:dyDescent="0.2">
      <c r="A177" s="21"/>
      <c r="B177" s="21"/>
      <c r="C177" s="9" t="s">
        <v>201</v>
      </c>
      <c r="D177" s="47"/>
      <c r="E177" s="54"/>
      <c r="F177" s="54"/>
      <c r="G177" s="54"/>
      <c r="H177" s="45"/>
      <c r="I177" s="52"/>
      <c r="J177" s="54"/>
      <c r="K177" s="45"/>
      <c r="L177" s="14"/>
    </row>
    <row r="178" spans="1:12" ht="13.5" customHeight="1" x14ac:dyDescent="0.2">
      <c r="A178" s="21"/>
      <c r="B178" s="21"/>
      <c r="C178" s="9" t="s">
        <v>202</v>
      </c>
      <c r="D178" s="47"/>
      <c r="E178" s="54"/>
      <c r="F178" s="54"/>
      <c r="G178" s="54"/>
      <c r="H178" s="45"/>
      <c r="I178" s="52"/>
      <c r="J178" s="54"/>
      <c r="K178" s="45"/>
      <c r="L178" s="14"/>
    </row>
    <row r="179" spans="1:12" ht="13.5" customHeight="1" x14ac:dyDescent="0.2">
      <c r="A179" s="21"/>
      <c r="B179" s="21"/>
      <c r="C179" s="9" t="s">
        <v>203</v>
      </c>
      <c r="D179" s="47"/>
      <c r="E179" s="54"/>
      <c r="F179" s="54"/>
      <c r="G179" s="54"/>
      <c r="H179" s="45"/>
      <c r="I179" s="52"/>
      <c r="J179" s="54"/>
      <c r="K179" s="45"/>
      <c r="L179" s="14"/>
    </row>
    <row r="180" spans="1:12" ht="13.5" customHeight="1" x14ac:dyDescent="0.2">
      <c r="A180" s="21"/>
      <c r="B180" s="21"/>
      <c r="C180" s="9" t="s">
        <v>204</v>
      </c>
      <c r="D180" s="47"/>
      <c r="E180" s="54"/>
      <c r="F180" s="54"/>
      <c r="G180" s="54"/>
      <c r="H180" s="45"/>
      <c r="I180" s="52"/>
      <c r="J180" s="54"/>
      <c r="K180" s="45"/>
      <c r="L180" s="14"/>
    </row>
    <row r="181" spans="1:12" ht="13.5" customHeight="1" x14ac:dyDescent="0.2">
      <c r="A181" s="21"/>
      <c r="B181" s="21"/>
      <c r="C181" s="9" t="s">
        <v>205</v>
      </c>
      <c r="D181" s="47"/>
      <c r="E181" s="54"/>
      <c r="F181" s="54"/>
      <c r="G181" s="54"/>
      <c r="H181" s="45"/>
      <c r="I181" s="52"/>
      <c r="J181" s="54"/>
      <c r="K181" s="45"/>
      <c r="L181" s="14"/>
    </row>
    <row r="182" spans="1:12" ht="13.5" customHeight="1" x14ac:dyDescent="0.2">
      <c r="A182" s="21"/>
      <c r="B182" s="21"/>
      <c r="C182" s="9" t="s">
        <v>206</v>
      </c>
      <c r="D182" s="47"/>
      <c r="E182" s="55"/>
      <c r="F182" s="55"/>
      <c r="G182" s="55"/>
      <c r="H182" s="46"/>
      <c r="I182" s="53"/>
      <c r="J182" s="55"/>
      <c r="K182" s="46"/>
      <c r="L182" s="14"/>
    </row>
    <row r="183" spans="1:12" s="26" customFormat="1" ht="13.5" customHeight="1" x14ac:dyDescent="0.15">
      <c r="A183" s="21">
        <v>81</v>
      </c>
      <c r="B183" s="29" t="s">
        <v>207</v>
      </c>
      <c r="C183" s="23" t="s">
        <v>208</v>
      </c>
      <c r="D183" s="24" t="s">
        <v>177</v>
      </c>
      <c r="E183" s="25">
        <f>SUM(E184:E190)</f>
        <v>397299344</v>
      </c>
      <c r="F183" s="25">
        <f t="shared" ref="F183:K183" si="21">SUM(F184:F190)</f>
        <v>0</v>
      </c>
      <c r="G183" s="25">
        <f t="shared" si="21"/>
        <v>118660328</v>
      </c>
      <c r="H183" s="25">
        <f t="shared" si="21"/>
        <v>278639016</v>
      </c>
      <c r="I183" s="25">
        <f t="shared" si="21"/>
        <v>72915655</v>
      </c>
      <c r="J183" s="25">
        <f t="shared" si="21"/>
        <v>0</v>
      </c>
      <c r="K183" s="25">
        <f t="shared" si="21"/>
        <v>470214999</v>
      </c>
      <c r="L183" s="25"/>
    </row>
    <row r="184" spans="1:12" ht="13.5" customHeight="1" x14ac:dyDescent="0.2">
      <c r="A184" s="21"/>
      <c r="B184" s="21"/>
      <c r="C184" s="9" t="s">
        <v>148</v>
      </c>
      <c r="D184" s="12" t="s">
        <v>107</v>
      </c>
      <c r="E184" s="14">
        <v>229221015</v>
      </c>
      <c r="F184" s="14"/>
      <c r="G184" s="14">
        <v>118660328</v>
      </c>
      <c r="H184" s="13">
        <f>E184-F184-G184</f>
        <v>110560687</v>
      </c>
      <c r="I184" s="27"/>
      <c r="J184" s="27"/>
      <c r="K184" s="13">
        <f>E184+I184</f>
        <v>229221015</v>
      </c>
      <c r="L184" s="14"/>
    </row>
    <row r="185" spans="1:12" ht="13.5" customHeight="1" x14ac:dyDescent="0.2">
      <c r="A185" s="21"/>
      <c r="B185" s="21"/>
      <c r="C185" s="9">
        <v>26</v>
      </c>
      <c r="D185" s="47" t="s">
        <v>177</v>
      </c>
      <c r="E185" s="51">
        <f>168607638-529309</f>
        <v>168078329</v>
      </c>
      <c r="F185" s="51"/>
      <c r="G185" s="51"/>
      <c r="H185" s="44">
        <f>E185-F185-G185</f>
        <v>168078329</v>
      </c>
      <c r="I185" s="51">
        <f>72906232+9423</f>
        <v>72915655</v>
      </c>
      <c r="J185" s="51"/>
      <c r="K185" s="44">
        <f>E185+I185</f>
        <v>240993984</v>
      </c>
      <c r="L185" s="14"/>
    </row>
    <row r="186" spans="1:12" ht="13.5" customHeight="1" x14ac:dyDescent="0.2">
      <c r="A186" s="21"/>
      <c r="B186" s="21"/>
      <c r="C186" s="9">
        <v>27</v>
      </c>
      <c r="D186" s="47"/>
      <c r="E186" s="54"/>
      <c r="F186" s="54"/>
      <c r="G186" s="54"/>
      <c r="H186" s="45"/>
      <c r="I186" s="52"/>
      <c r="J186" s="54"/>
      <c r="K186" s="45"/>
      <c r="L186" s="14"/>
    </row>
    <row r="187" spans="1:12" ht="13.5" customHeight="1" x14ac:dyDescent="0.2">
      <c r="A187" s="21"/>
      <c r="B187" s="21"/>
      <c r="C187" s="9">
        <v>290</v>
      </c>
      <c r="D187" s="47"/>
      <c r="E187" s="54"/>
      <c r="F187" s="54"/>
      <c r="G187" s="54"/>
      <c r="H187" s="45"/>
      <c r="I187" s="52"/>
      <c r="J187" s="54"/>
      <c r="K187" s="45"/>
      <c r="L187" s="14"/>
    </row>
    <row r="188" spans="1:12" ht="13.5" customHeight="1" x14ac:dyDescent="0.2">
      <c r="A188" s="21"/>
      <c r="B188" s="21"/>
      <c r="C188" s="9">
        <v>292</v>
      </c>
      <c r="D188" s="47"/>
      <c r="E188" s="54"/>
      <c r="F188" s="54"/>
      <c r="G188" s="54"/>
      <c r="H188" s="45"/>
      <c r="I188" s="52"/>
      <c r="J188" s="54"/>
      <c r="K188" s="45"/>
      <c r="L188" s="14"/>
    </row>
    <row r="189" spans="1:12" ht="13.5" customHeight="1" x14ac:dyDescent="0.2">
      <c r="A189" s="21"/>
      <c r="B189" s="21"/>
      <c r="C189" s="9">
        <v>289</v>
      </c>
      <c r="D189" s="47"/>
      <c r="E189" s="54"/>
      <c r="F189" s="54"/>
      <c r="G189" s="54"/>
      <c r="H189" s="45"/>
      <c r="I189" s="52"/>
      <c r="J189" s="54"/>
      <c r="K189" s="45"/>
      <c r="L189" s="14"/>
    </row>
    <row r="190" spans="1:12" ht="13.5" customHeight="1" x14ac:dyDescent="0.2">
      <c r="A190" s="21"/>
      <c r="B190" s="21"/>
      <c r="C190" s="9">
        <v>291</v>
      </c>
      <c r="D190" s="47"/>
      <c r="E190" s="55"/>
      <c r="F190" s="55"/>
      <c r="G190" s="55"/>
      <c r="H190" s="46"/>
      <c r="I190" s="53"/>
      <c r="J190" s="55"/>
      <c r="K190" s="46"/>
      <c r="L190" s="14"/>
    </row>
    <row r="191" spans="1:12" s="26" customFormat="1" ht="13.5" customHeight="1" x14ac:dyDescent="0.15">
      <c r="A191" s="21">
        <v>82</v>
      </c>
      <c r="B191" s="29" t="s">
        <v>209</v>
      </c>
      <c r="C191" s="23" t="s">
        <v>210</v>
      </c>
      <c r="D191" s="24" t="s">
        <v>177</v>
      </c>
      <c r="E191" s="25">
        <f>SUM(E192:E200)</f>
        <v>1240593380</v>
      </c>
      <c r="F191" s="25">
        <f t="shared" ref="F191:K191" si="22">SUM(F192:F200)</f>
        <v>3508136</v>
      </c>
      <c r="G191" s="25">
        <f t="shared" si="22"/>
        <v>46742333</v>
      </c>
      <c r="H191" s="25">
        <f t="shared" si="22"/>
        <v>1190342911</v>
      </c>
      <c r="I191" s="25">
        <f t="shared" si="22"/>
        <v>227052996</v>
      </c>
      <c r="J191" s="25">
        <f t="shared" si="22"/>
        <v>0</v>
      </c>
      <c r="K191" s="25">
        <f t="shared" si="22"/>
        <v>1467646376</v>
      </c>
      <c r="L191" s="25"/>
    </row>
    <row r="192" spans="1:12" ht="13.5" customHeight="1" x14ac:dyDescent="0.2">
      <c r="A192" s="21"/>
      <c r="B192" s="21"/>
      <c r="C192" s="9" t="s">
        <v>148</v>
      </c>
      <c r="D192" s="12" t="s">
        <v>107</v>
      </c>
      <c r="E192" s="14">
        <f>957027816-5434708</f>
        <v>951593108</v>
      </c>
      <c r="F192" s="14">
        <f>7307010-5434708</f>
        <v>1872302</v>
      </c>
      <c r="G192" s="14">
        <v>46742333</v>
      </c>
      <c r="H192" s="13">
        <f>E192-F192-G192</f>
        <v>902978473</v>
      </c>
      <c r="I192" s="27"/>
      <c r="J192" s="27"/>
      <c r="K192" s="13">
        <f>E192+I192</f>
        <v>951593108</v>
      </c>
      <c r="L192" s="14"/>
    </row>
    <row r="193" spans="1:12" ht="13.5" customHeight="1" x14ac:dyDescent="0.2">
      <c r="A193" s="21"/>
      <c r="B193" s="21"/>
      <c r="C193" s="9" t="s">
        <v>211</v>
      </c>
      <c r="D193" s="47" t="s">
        <v>177</v>
      </c>
      <c r="E193" s="51">
        <f>295812295-256561-6555462</f>
        <v>289000272</v>
      </c>
      <c r="F193" s="51">
        <f>8191296-6555462</f>
        <v>1635834</v>
      </c>
      <c r="G193" s="51"/>
      <c r="H193" s="44">
        <f>E193-F193-G193</f>
        <v>287364438</v>
      </c>
      <c r="I193" s="51">
        <v>227052996</v>
      </c>
      <c r="J193" s="51"/>
      <c r="K193" s="44">
        <f>E193+I193</f>
        <v>516053268</v>
      </c>
      <c r="L193" s="14"/>
    </row>
    <row r="194" spans="1:12" ht="13.5" customHeight="1" x14ac:dyDescent="0.2">
      <c r="A194" s="21"/>
      <c r="B194" s="21"/>
      <c r="C194" s="9">
        <v>409</v>
      </c>
      <c r="D194" s="47"/>
      <c r="E194" s="54"/>
      <c r="F194" s="54"/>
      <c r="G194" s="54"/>
      <c r="H194" s="45"/>
      <c r="I194" s="52"/>
      <c r="J194" s="54"/>
      <c r="K194" s="45"/>
      <c r="L194" s="14"/>
    </row>
    <row r="195" spans="1:12" ht="13.5" customHeight="1" x14ac:dyDescent="0.2">
      <c r="A195" s="21"/>
      <c r="B195" s="21"/>
      <c r="C195" s="9">
        <v>707</v>
      </c>
      <c r="D195" s="47"/>
      <c r="E195" s="54"/>
      <c r="F195" s="54"/>
      <c r="G195" s="54"/>
      <c r="H195" s="45"/>
      <c r="I195" s="52"/>
      <c r="J195" s="54"/>
      <c r="K195" s="45"/>
      <c r="L195" s="14"/>
    </row>
    <row r="196" spans="1:12" ht="13.5" customHeight="1" x14ac:dyDescent="0.2">
      <c r="A196" s="21"/>
      <c r="B196" s="21"/>
      <c r="C196" s="9" t="s">
        <v>212</v>
      </c>
      <c r="D196" s="47"/>
      <c r="E196" s="54"/>
      <c r="F196" s="54"/>
      <c r="G196" s="54"/>
      <c r="H196" s="45"/>
      <c r="I196" s="52"/>
      <c r="J196" s="54"/>
      <c r="K196" s="45"/>
      <c r="L196" s="14"/>
    </row>
    <row r="197" spans="1:12" ht="13.5" customHeight="1" x14ac:dyDescent="0.2">
      <c r="A197" s="21"/>
      <c r="B197" s="21"/>
      <c r="C197" s="9">
        <v>507</v>
      </c>
      <c r="D197" s="47"/>
      <c r="E197" s="54"/>
      <c r="F197" s="54"/>
      <c r="G197" s="54"/>
      <c r="H197" s="45"/>
      <c r="I197" s="52"/>
      <c r="J197" s="54"/>
      <c r="K197" s="45"/>
      <c r="L197" s="14"/>
    </row>
    <row r="198" spans="1:12" ht="13.5" customHeight="1" x14ac:dyDescent="0.2">
      <c r="A198" s="21"/>
      <c r="B198" s="21"/>
      <c r="C198" s="9" t="s">
        <v>213</v>
      </c>
      <c r="D198" s="47"/>
      <c r="E198" s="54"/>
      <c r="F198" s="54"/>
      <c r="G198" s="54"/>
      <c r="H198" s="45"/>
      <c r="I198" s="52"/>
      <c r="J198" s="54"/>
      <c r="K198" s="45"/>
      <c r="L198" s="14"/>
    </row>
    <row r="199" spans="1:12" ht="13.5" customHeight="1" x14ac:dyDescent="0.2">
      <c r="A199" s="21"/>
      <c r="B199" s="21"/>
      <c r="C199" s="9">
        <v>351</v>
      </c>
      <c r="D199" s="47"/>
      <c r="E199" s="54"/>
      <c r="F199" s="54"/>
      <c r="G199" s="54"/>
      <c r="H199" s="45"/>
      <c r="I199" s="52"/>
      <c r="J199" s="54"/>
      <c r="K199" s="45"/>
      <c r="L199" s="14"/>
    </row>
    <row r="200" spans="1:12" ht="13.5" customHeight="1" x14ac:dyDescent="0.2">
      <c r="A200" s="21"/>
      <c r="B200" s="21"/>
      <c r="C200" s="9" t="s">
        <v>214</v>
      </c>
      <c r="D200" s="47"/>
      <c r="E200" s="55"/>
      <c r="F200" s="55"/>
      <c r="G200" s="55"/>
      <c r="H200" s="46"/>
      <c r="I200" s="53"/>
      <c r="J200" s="55"/>
      <c r="K200" s="46"/>
      <c r="L200" s="14"/>
    </row>
    <row r="201" spans="1:12" s="26" customFormat="1" ht="13.5" customHeight="1" x14ac:dyDescent="0.15">
      <c r="A201" s="21">
        <v>83</v>
      </c>
      <c r="B201" s="22" t="s">
        <v>215</v>
      </c>
      <c r="C201" s="23" t="s">
        <v>216</v>
      </c>
      <c r="D201" s="24" t="s">
        <v>177</v>
      </c>
      <c r="E201" s="25">
        <f>SUM(E202:E222)</f>
        <v>741523831</v>
      </c>
      <c r="F201" s="25">
        <f t="shared" ref="F201:K201" si="23">SUM(F202:F222)</f>
        <v>58730720</v>
      </c>
      <c r="G201" s="25">
        <f t="shared" si="23"/>
        <v>34550368</v>
      </c>
      <c r="H201" s="25">
        <f t="shared" si="23"/>
        <v>648242743</v>
      </c>
      <c r="I201" s="25">
        <f t="shared" si="23"/>
        <v>184991259</v>
      </c>
      <c r="J201" s="25">
        <f t="shared" si="23"/>
        <v>0</v>
      </c>
      <c r="K201" s="25">
        <f t="shared" si="23"/>
        <v>926515090</v>
      </c>
      <c r="L201" s="25"/>
    </row>
    <row r="202" spans="1:12" ht="13.5" customHeight="1" x14ac:dyDescent="0.2">
      <c r="A202" s="21"/>
      <c r="B202" s="21"/>
      <c r="C202" s="9" t="s">
        <v>148</v>
      </c>
      <c r="D202" s="12" t="s">
        <v>107</v>
      </c>
      <c r="E202" s="14">
        <f>260934316-14828708</f>
        <v>246105608</v>
      </c>
      <c r="F202" s="14">
        <f>68509326-14828708</f>
        <v>53680618</v>
      </c>
      <c r="G202" s="14">
        <v>34550368</v>
      </c>
      <c r="H202" s="13">
        <f>E202-F202-G202</f>
        <v>157874622</v>
      </c>
      <c r="I202" s="27"/>
      <c r="J202" s="27"/>
      <c r="K202" s="13">
        <f>E202+I202</f>
        <v>246105608</v>
      </c>
      <c r="L202" s="14"/>
    </row>
    <row r="203" spans="1:12" ht="13.5" customHeight="1" x14ac:dyDescent="0.2">
      <c r="A203" s="21"/>
      <c r="B203" s="21"/>
      <c r="C203" s="9">
        <v>22287</v>
      </c>
      <c r="D203" s="47" t="s">
        <v>177</v>
      </c>
      <c r="E203" s="51">
        <f>445651221+124412-958350</f>
        <v>444817283</v>
      </c>
      <c r="F203" s="51">
        <f>6008452-958350</f>
        <v>5050102</v>
      </c>
      <c r="G203" s="51"/>
      <c r="H203" s="44">
        <f>E203-F203-G203</f>
        <v>439767181</v>
      </c>
      <c r="I203" s="51">
        <v>184991259</v>
      </c>
      <c r="J203" s="51"/>
      <c r="K203" s="44">
        <f>E203+I203</f>
        <v>629808542</v>
      </c>
      <c r="L203" s="14"/>
    </row>
    <row r="204" spans="1:12" ht="13.5" customHeight="1" x14ac:dyDescent="0.2">
      <c r="A204" s="21"/>
      <c r="B204" s="21"/>
      <c r="C204" s="9">
        <v>22306</v>
      </c>
      <c r="D204" s="47"/>
      <c r="E204" s="54"/>
      <c r="F204" s="54"/>
      <c r="G204" s="54"/>
      <c r="H204" s="45"/>
      <c r="I204" s="52"/>
      <c r="J204" s="54"/>
      <c r="K204" s="45"/>
      <c r="L204" s="14"/>
    </row>
    <row r="205" spans="1:12" ht="13.5" customHeight="1" x14ac:dyDescent="0.2">
      <c r="A205" s="21"/>
      <c r="B205" s="21"/>
      <c r="C205" s="9">
        <v>22291</v>
      </c>
      <c r="D205" s="47"/>
      <c r="E205" s="54"/>
      <c r="F205" s="54"/>
      <c r="G205" s="54"/>
      <c r="H205" s="45"/>
      <c r="I205" s="52"/>
      <c r="J205" s="54"/>
      <c r="K205" s="45"/>
      <c r="L205" s="14"/>
    </row>
    <row r="206" spans="1:12" ht="13.5" customHeight="1" x14ac:dyDescent="0.2">
      <c r="A206" s="21"/>
      <c r="B206" s="21"/>
      <c r="C206" s="9">
        <v>22292</v>
      </c>
      <c r="D206" s="47"/>
      <c r="E206" s="54"/>
      <c r="F206" s="54"/>
      <c r="G206" s="54"/>
      <c r="H206" s="45"/>
      <c r="I206" s="52"/>
      <c r="J206" s="54"/>
      <c r="K206" s="45"/>
      <c r="L206" s="14"/>
    </row>
    <row r="207" spans="1:12" ht="13.5" customHeight="1" x14ac:dyDescent="0.2">
      <c r="A207" s="21"/>
      <c r="B207" s="21"/>
      <c r="C207" s="9">
        <v>22294</v>
      </c>
      <c r="D207" s="47"/>
      <c r="E207" s="54"/>
      <c r="F207" s="54"/>
      <c r="G207" s="54"/>
      <c r="H207" s="45"/>
      <c r="I207" s="52"/>
      <c r="J207" s="54"/>
      <c r="K207" s="45"/>
      <c r="L207" s="14"/>
    </row>
    <row r="208" spans="1:12" ht="13.5" customHeight="1" x14ac:dyDescent="0.2">
      <c r="A208" s="21"/>
      <c r="B208" s="21"/>
      <c r="C208" s="9">
        <v>22296</v>
      </c>
      <c r="D208" s="47"/>
      <c r="E208" s="54"/>
      <c r="F208" s="54"/>
      <c r="G208" s="54"/>
      <c r="H208" s="45"/>
      <c r="I208" s="52"/>
      <c r="J208" s="54"/>
      <c r="K208" s="45"/>
      <c r="L208" s="14"/>
    </row>
    <row r="209" spans="1:12" ht="13.5" customHeight="1" x14ac:dyDescent="0.2">
      <c r="A209" s="21"/>
      <c r="B209" s="21"/>
      <c r="C209" s="9">
        <v>22297</v>
      </c>
      <c r="D209" s="47"/>
      <c r="E209" s="54"/>
      <c r="F209" s="54"/>
      <c r="G209" s="54"/>
      <c r="H209" s="45"/>
      <c r="I209" s="52"/>
      <c r="J209" s="54"/>
      <c r="K209" s="45"/>
      <c r="L209" s="14"/>
    </row>
    <row r="210" spans="1:12" ht="13.5" customHeight="1" x14ac:dyDescent="0.2">
      <c r="A210" s="21"/>
      <c r="B210" s="21"/>
      <c r="C210" s="9">
        <v>22301</v>
      </c>
      <c r="D210" s="47"/>
      <c r="E210" s="54"/>
      <c r="F210" s="54"/>
      <c r="G210" s="54"/>
      <c r="H210" s="45"/>
      <c r="I210" s="52"/>
      <c r="J210" s="54"/>
      <c r="K210" s="45"/>
      <c r="L210" s="14"/>
    </row>
    <row r="211" spans="1:12" ht="13.5" customHeight="1" x14ac:dyDescent="0.2">
      <c r="A211" s="21"/>
      <c r="B211" s="21"/>
      <c r="C211" s="9">
        <v>22289</v>
      </c>
      <c r="D211" s="47"/>
      <c r="E211" s="54"/>
      <c r="F211" s="54"/>
      <c r="G211" s="54"/>
      <c r="H211" s="45"/>
      <c r="I211" s="52"/>
      <c r="J211" s="54"/>
      <c r="K211" s="45"/>
      <c r="L211" s="14"/>
    </row>
    <row r="212" spans="1:12" ht="13.5" customHeight="1" x14ac:dyDescent="0.2">
      <c r="A212" s="21"/>
      <c r="B212" s="21"/>
      <c r="C212" s="9">
        <v>22295</v>
      </c>
      <c r="D212" s="47"/>
      <c r="E212" s="54"/>
      <c r="F212" s="54"/>
      <c r="G212" s="54"/>
      <c r="H212" s="45"/>
      <c r="I212" s="52"/>
      <c r="J212" s="54"/>
      <c r="K212" s="45"/>
      <c r="L212" s="14"/>
    </row>
    <row r="213" spans="1:12" ht="13.5" customHeight="1" x14ac:dyDescent="0.2">
      <c r="A213" s="21"/>
      <c r="B213" s="21"/>
      <c r="C213" s="9">
        <v>22293</v>
      </c>
      <c r="D213" s="47"/>
      <c r="E213" s="54"/>
      <c r="F213" s="54"/>
      <c r="G213" s="54"/>
      <c r="H213" s="45"/>
      <c r="I213" s="52"/>
      <c r="J213" s="54"/>
      <c r="K213" s="45"/>
      <c r="L213" s="14"/>
    </row>
    <row r="214" spans="1:12" ht="13.5" customHeight="1" x14ac:dyDescent="0.2">
      <c r="A214" s="21"/>
      <c r="B214" s="21"/>
      <c r="C214" s="9">
        <v>22303</v>
      </c>
      <c r="D214" s="47"/>
      <c r="E214" s="55"/>
      <c r="F214" s="55"/>
      <c r="G214" s="55"/>
      <c r="H214" s="46"/>
      <c r="I214" s="53"/>
      <c r="J214" s="55"/>
      <c r="K214" s="46"/>
      <c r="L214" s="14"/>
    </row>
    <row r="215" spans="1:12" ht="13.5" customHeight="1" x14ac:dyDescent="0.2">
      <c r="A215" s="21"/>
      <c r="B215" s="21"/>
      <c r="C215" s="9">
        <v>357</v>
      </c>
      <c r="D215" s="47" t="s">
        <v>16</v>
      </c>
      <c r="E215" s="51">
        <v>50600940</v>
      </c>
      <c r="F215" s="51"/>
      <c r="G215" s="51"/>
      <c r="H215" s="44">
        <f>E215-F215-G215</f>
        <v>50600940</v>
      </c>
      <c r="I215" s="51"/>
      <c r="J215" s="51"/>
      <c r="K215" s="44">
        <f>E215+I215</f>
        <v>50600940</v>
      </c>
      <c r="L215" s="14"/>
    </row>
    <row r="216" spans="1:12" ht="13.5" customHeight="1" x14ac:dyDescent="0.2">
      <c r="A216" s="21"/>
      <c r="B216" s="21"/>
      <c r="C216" s="9">
        <v>358</v>
      </c>
      <c r="D216" s="47"/>
      <c r="E216" s="54"/>
      <c r="F216" s="54"/>
      <c r="G216" s="54"/>
      <c r="H216" s="45"/>
      <c r="I216" s="52"/>
      <c r="J216" s="54"/>
      <c r="K216" s="45"/>
      <c r="L216" s="14"/>
    </row>
    <row r="217" spans="1:12" ht="13.5" customHeight="1" x14ac:dyDescent="0.2">
      <c r="A217" s="21"/>
      <c r="B217" s="21"/>
      <c r="C217" s="9">
        <v>360</v>
      </c>
      <c r="D217" s="47"/>
      <c r="E217" s="54"/>
      <c r="F217" s="54"/>
      <c r="G217" s="54"/>
      <c r="H217" s="45"/>
      <c r="I217" s="52"/>
      <c r="J217" s="54"/>
      <c r="K217" s="45"/>
      <c r="L217" s="14"/>
    </row>
    <row r="218" spans="1:12" ht="13.5" customHeight="1" x14ac:dyDescent="0.2">
      <c r="A218" s="21"/>
      <c r="B218" s="21"/>
      <c r="C218" s="9">
        <v>369</v>
      </c>
      <c r="D218" s="47"/>
      <c r="E218" s="54"/>
      <c r="F218" s="54"/>
      <c r="G218" s="54"/>
      <c r="H218" s="45"/>
      <c r="I218" s="52"/>
      <c r="J218" s="54"/>
      <c r="K218" s="45"/>
      <c r="L218" s="14"/>
    </row>
    <row r="219" spans="1:12" ht="13.5" customHeight="1" x14ac:dyDescent="0.2">
      <c r="A219" s="21"/>
      <c r="B219" s="21"/>
      <c r="C219" s="9">
        <v>370</v>
      </c>
      <c r="D219" s="47"/>
      <c r="E219" s="54"/>
      <c r="F219" s="54"/>
      <c r="G219" s="54"/>
      <c r="H219" s="45"/>
      <c r="I219" s="52"/>
      <c r="J219" s="54"/>
      <c r="K219" s="45"/>
      <c r="L219" s="14"/>
    </row>
    <row r="220" spans="1:12" ht="13.5" customHeight="1" x14ac:dyDescent="0.2">
      <c r="A220" s="21"/>
      <c r="B220" s="21"/>
      <c r="C220" s="9">
        <v>371</v>
      </c>
      <c r="D220" s="47"/>
      <c r="E220" s="54"/>
      <c r="F220" s="54"/>
      <c r="G220" s="54"/>
      <c r="H220" s="45"/>
      <c r="I220" s="52"/>
      <c r="J220" s="54"/>
      <c r="K220" s="45"/>
      <c r="L220" s="14"/>
    </row>
    <row r="221" spans="1:12" ht="13.5" customHeight="1" x14ac:dyDescent="0.2">
      <c r="A221" s="21"/>
      <c r="B221" s="21"/>
      <c r="C221" s="9">
        <v>373</v>
      </c>
      <c r="D221" s="47"/>
      <c r="E221" s="54"/>
      <c r="F221" s="54"/>
      <c r="G221" s="54"/>
      <c r="H221" s="45"/>
      <c r="I221" s="52"/>
      <c r="J221" s="54"/>
      <c r="K221" s="45"/>
      <c r="L221" s="14"/>
    </row>
    <row r="222" spans="1:12" ht="13.5" customHeight="1" x14ac:dyDescent="0.2">
      <c r="A222" s="21"/>
      <c r="B222" s="21"/>
      <c r="C222" s="9">
        <v>375</v>
      </c>
      <c r="D222" s="47"/>
      <c r="E222" s="55"/>
      <c r="F222" s="55"/>
      <c r="G222" s="55"/>
      <c r="H222" s="46"/>
      <c r="I222" s="53"/>
      <c r="J222" s="55"/>
      <c r="K222" s="46"/>
      <c r="L222" s="14"/>
    </row>
    <row r="223" spans="1:12" s="26" customFormat="1" ht="13.5" customHeight="1" x14ac:dyDescent="0.15">
      <c r="A223" s="21">
        <v>84</v>
      </c>
      <c r="B223" s="28" t="s">
        <v>217</v>
      </c>
      <c r="C223" s="23" t="s">
        <v>218</v>
      </c>
      <c r="D223" s="24" t="s">
        <v>177</v>
      </c>
      <c r="E223" s="25">
        <v>409496361</v>
      </c>
      <c r="F223" s="25">
        <v>0</v>
      </c>
      <c r="G223" s="25"/>
      <c r="H223" s="18">
        <f>E223-F223-G223</f>
        <v>409496361</v>
      </c>
      <c r="I223" s="25">
        <v>157971060</v>
      </c>
      <c r="J223" s="25"/>
      <c r="K223" s="18">
        <f>E223+I223</f>
        <v>567467421</v>
      </c>
      <c r="L223" s="25"/>
    </row>
    <row r="224" spans="1:12" s="26" customFormat="1" ht="13.5" customHeight="1" x14ac:dyDescent="0.15">
      <c r="A224" s="33">
        <v>85</v>
      </c>
      <c r="B224" s="28" t="s">
        <v>219</v>
      </c>
      <c r="C224" s="23" t="s">
        <v>220</v>
      </c>
      <c r="D224" s="24" t="s">
        <v>221</v>
      </c>
      <c r="E224" s="25">
        <f>SUM(E225:E243)</f>
        <v>1218338969</v>
      </c>
      <c r="F224" s="25">
        <f t="shared" ref="F224:K224" si="24">SUM(F225:F243)</f>
        <v>152146078</v>
      </c>
      <c r="G224" s="25">
        <f t="shared" si="24"/>
        <v>32916734</v>
      </c>
      <c r="H224" s="25">
        <f t="shared" si="24"/>
        <v>1033276157</v>
      </c>
      <c r="I224" s="25">
        <f t="shared" si="24"/>
        <v>443598081</v>
      </c>
      <c r="J224" s="25">
        <f t="shared" si="24"/>
        <v>23904910</v>
      </c>
      <c r="K224" s="25">
        <f t="shared" si="24"/>
        <v>1661937050</v>
      </c>
      <c r="L224" s="25"/>
    </row>
    <row r="225" spans="1:12" ht="13.5" customHeight="1" x14ac:dyDescent="0.2">
      <c r="A225" s="33"/>
      <c r="B225" s="33"/>
      <c r="C225" s="9" t="s">
        <v>148</v>
      </c>
      <c r="D225" s="12" t="s">
        <v>107</v>
      </c>
      <c r="E225" s="14">
        <f>243231958+3408</f>
        <v>243235366</v>
      </c>
      <c r="F225" s="14"/>
      <c r="G225" s="14">
        <f>32913326+3408</f>
        <v>32916734</v>
      </c>
      <c r="H225" s="13">
        <f>E225-F225-G225</f>
        <v>210318632</v>
      </c>
      <c r="I225" s="27"/>
      <c r="J225" s="27"/>
      <c r="K225" s="13">
        <f>E225+I225</f>
        <v>243235366</v>
      </c>
      <c r="L225" s="14"/>
    </row>
    <row r="226" spans="1:12" ht="13.5" customHeight="1" x14ac:dyDescent="0.2">
      <c r="A226" s="33"/>
      <c r="B226" s="33"/>
      <c r="C226" s="9" t="s">
        <v>222</v>
      </c>
      <c r="D226" s="47" t="s">
        <v>221</v>
      </c>
      <c r="E226" s="51">
        <f>996267048+480230-69902-21573773</f>
        <v>975103603</v>
      </c>
      <c r="F226" s="51">
        <f>173719851-21573773</f>
        <v>152146078</v>
      </c>
      <c r="G226" s="51"/>
      <c r="H226" s="62">
        <f>E226-F226-G226</f>
        <v>822957525</v>
      </c>
      <c r="I226" s="51">
        <f>444078993-480912</f>
        <v>443598081</v>
      </c>
      <c r="J226" s="51">
        <v>23904910</v>
      </c>
      <c r="K226" s="62">
        <f>E226+I226</f>
        <v>1418701684</v>
      </c>
      <c r="L226" s="14"/>
    </row>
    <row r="227" spans="1:12" ht="13.5" customHeight="1" x14ac:dyDescent="0.2">
      <c r="A227" s="33"/>
      <c r="B227" s="33"/>
      <c r="C227" s="9" t="s">
        <v>223</v>
      </c>
      <c r="D227" s="47"/>
      <c r="E227" s="54"/>
      <c r="F227" s="54"/>
      <c r="G227" s="54"/>
      <c r="H227" s="54"/>
      <c r="I227" s="52"/>
      <c r="J227" s="54"/>
      <c r="K227" s="54"/>
      <c r="L227" s="14"/>
    </row>
    <row r="228" spans="1:12" ht="13.5" customHeight="1" x14ac:dyDescent="0.2">
      <c r="A228" s="33"/>
      <c r="B228" s="33"/>
      <c r="C228" s="9" t="s">
        <v>224</v>
      </c>
      <c r="D228" s="47"/>
      <c r="E228" s="54"/>
      <c r="F228" s="54"/>
      <c r="G228" s="54"/>
      <c r="H228" s="54"/>
      <c r="I228" s="52"/>
      <c r="J228" s="54"/>
      <c r="K228" s="54"/>
      <c r="L228" s="14"/>
    </row>
    <row r="229" spans="1:12" ht="13.5" customHeight="1" x14ac:dyDescent="0.2">
      <c r="A229" s="33"/>
      <c r="B229" s="33"/>
      <c r="C229" s="9" t="s">
        <v>225</v>
      </c>
      <c r="D229" s="47"/>
      <c r="E229" s="54"/>
      <c r="F229" s="54"/>
      <c r="G229" s="54"/>
      <c r="H229" s="54"/>
      <c r="I229" s="52"/>
      <c r="J229" s="54"/>
      <c r="K229" s="54"/>
      <c r="L229" s="14"/>
    </row>
    <row r="230" spans="1:12" ht="13.5" customHeight="1" x14ac:dyDescent="0.2">
      <c r="A230" s="33"/>
      <c r="B230" s="33"/>
      <c r="C230" s="9" t="s">
        <v>226</v>
      </c>
      <c r="D230" s="47"/>
      <c r="E230" s="54"/>
      <c r="F230" s="54"/>
      <c r="G230" s="54"/>
      <c r="H230" s="54"/>
      <c r="I230" s="52"/>
      <c r="J230" s="54"/>
      <c r="K230" s="54"/>
      <c r="L230" s="14"/>
    </row>
    <row r="231" spans="1:12" ht="13.5" customHeight="1" x14ac:dyDescent="0.2">
      <c r="A231" s="33"/>
      <c r="B231" s="33"/>
      <c r="C231" s="9" t="s">
        <v>227</v>
      </c>
      <c r="D231" s="47"/>
      <c r="E231" s="54"/>
      <c r="F231" s="54"/>
      <c r="G231" s="54"/>
      <c r="H231" s="54"/>
      <c r="I231" s="52"/>
      <c r="J231" s="54"/>
      <c r="K231" s="54"/>
      <c r="L231" s="14"/>
    </row>
    <row r="232" spans="1:12" ht="13.5" customHeight="1" x14ac:dyDescent="0.2">
      <c r="A232" s="33"/>
      <c r="B232" s="33"/>
      <c r="C232" s="9" t="s">
        <v>228</v>
      </c>
      <c r="D232" s="47"/>
      <c r="E232" s="54"/>
      <c r="F232" s="54"/>
      <c r="G232" s="54"/>
      <c r="H232" s="54"/>
      <c r="I232" s="52"/>
      <c r="J232" s="54"/>
      <c r="K232" s="54"/>
      <c r="L232" s="14"/>
    </row>
    <row r="233" spans="1:12" ht="13.5" customHeight="1" x14ac:dyDescent="0.2">
      <c r="A233" s="33"/>
      <c r="B233" s="33"/>
      <c r="C233" s="9" t="s">
        <v>229</v>
      </c>
      <c r="D233" s="47"/>
      <c r="E233" s="54"/>
      <c r="F233" s="54"/>
      <c r="G233" s="54"/>
      <c r="H233" s="54"/>
      <c r="I233" s="52"/>
      <c r="J233" s="54"/>
      <c r="K233" s="54"/>
      <c r="L233" s="14"/>
    </row>
    <row r="234" spans="1:12" ht="13.5" customHeight="1" x14ac:dyDescent="0.2">
      <c r="A234" s="33"/>
      <c r="B234" s="33"/>
      <c r="C234" s="9" t="s">
        <v>230</v>
      </c>
      <c r="D234" s="47"/>
      <c r="E234" s="54"/>
      <c r="F234" s="54"/>
      <c r="G234" s="54"/>
      <c r="H234" s="54"/>
      <c r="I234" s="52"/>
      <c r="J234" s="54"/>
      <c r="K234" s="54"/>
      <c r="L234" s="14"/>
    </row>
    <row r="235" spans="1:12" ht="13.5" customHeight="1" x14ac:dyDescent="0.2">
      <c r="A235" s="33"/>
      <c r="B235" s="33"/>
      <c r="C235" s="9" t="s">
        <v>231</v>
      </c>
      <c r="D235" s="47"/>
      <c r="E235" s="54"/>
      <c r="F235" s="54"/>
      <c r="G235" s="54"/>
      <c r="H235" s="54"/>
      <c r="I235" s="52"/>
      <c r="J235" s="54"/>
      <c r="K235" s="54"/>
      <c r="L235" s="14"/>
    </row>
    <row r="236" spans="1:12" ht="13.5" customHeight="1" x14ac:dyDescent="0.2">
      <c r="A236" s="33"/>
      <c r="B236" s="33"/>
      <c r="C236" s="9" t="s">
        <v>232</v>
      </c>
      <c r="D236" s="47"/>
      <c r="E236" s="54"/>
      <c r="F236" s="54"/>
      <c r="G236" s="54"/>
      <c r="H236" s="54"/>
      <c r="I236" s="52"/>
      <c r="J236" s="54"/>
      <c r="K236" s="54"/>
      <c r="L236" s="14"/>
    </row>
    <row r="237" spans="1:12" ht="13.5" customHeight="1" x14ac:dyDescent="0.2">
      <c r="A237" s="33"/>
      <c r="B237" s="33"/>
      <c r="C237" s="9" t="s">
        <v>233</v>
      </c>
      <c r="D237" s="47"/>
      <c r="E237" s="54"/>
      <c r="F237" s="54"/>
      <c r="G237" s="54"/>
      <c r="H237" s="54"/>
      <c r="I237" s="52"/>
      <c r="J237" s="54"/>
      <c r="K237" s="54"/>
      <c r="L237" s="14"/>
    </row>
    <row r="238" spans="1:12" ht="13.5" customHeight="1" x14ac:dyDescent="0.2">
      <c r="A238" s="33"/>
      <c r="B238" s="33"/>
      <c r="C238" s="9" t="s">
        <v>234</v>
      </c>
      <c r="D238" s="47"/>
      <c r="E238" s="54"/>
      <c r="F238" s="54"/>
      <c r="G238" s="54"/>
      <c r="H238" s="54"/>
      <c r="I238" s="52"/>
      <c r="J238" s="54"/>
      <c r="K238" s="54"/>
      <c r="L238" s="14"/>
    </row>
    <row r="239" spans="1:12" ht="13.5" customHeight="1" x14ac:dyDescent="0.2">
      <c r="A239" s="33"/>
      <c r="B239" s="33"/>
      <c r="C239" s="9" t="s">
        <v>235</v>
      </c>
      <c r="D239" s="47"/>
      <c r="E239" s="54"/>
      <c r="F239" s="54"/>
      <c r="G239" s="54"/>
      <c r="H239" s="54"/>
      <c r="I239" s="52"/>
      <c r="J239" s="54"/>
      <c r="K239" s="54"/>
      <c r="L239" s="14"/>
    </row>
    <row r="240" spans="1:12" ht="13.5" customHeight="1" x14ac:dyDescent="0.2">
      <c r="A240" s="33"/>
      <c r="B240" s="33"/>
      <c r="C240" s="9" t="s">
        <v>236</v>
      </c>
      <c r="D240" s="47"/>
      <c r="E240" s="54"/>
      <c r="F240" s="54"/>
      <c r="G240" s="54"/>
      <c r="H240" s="54"/>
      <c r="I240" s="52"/>
      <c r="J240" s="54"/>
      <c r="K240" s="54"/>
      <c r="L240" s="14"/>
    </row>
    <row r="241" spans="1:12" ht="13.5" customHeight="1" x14ac:dyDescent="0.2">
      <c r="A241" s="33"/>
      <c r="B241" s="33"/>
      <c r="C241" s="9" t="s">
        <v>237</v>
      </c>
      <c r="D241" s="47"/>
      <c r="E241" s="54"/>
      <c r="F241" s="54"/>
      <c r="G241" s="54"/>
      <c r="H241" s="54"/>
      <c r="I241" s="52"/>
      <c r="J241" s="54"/>
      <c r="K241" s="54"/>
      <c r="L241" s="14"/>
    </row>
    <row r="242" spans="1:12" ht="13.5" customHeight="1" x14ac:dyDescent="0.2">
      <c r="A242" s="33"/>
      <c r="B242" s="33"/>
      <c r="C242" s="9" t="s">
        <v>238</v>
      </c>
      <c r="D242" s="47"/>
      <c r="E242" s="54"/>
      <c r="F242" s="54"/>
      <c r="G242" s="54"/>
      <c r="H242" s="54"/>
      <c r="I242" s="52"/>
      <c r="J242" s="54"/>
      <c r="K242" s="54"/>
      <c r="L242" s="14"/>
    </row>
    <row r="243" spans="1:12" ht="13.5" customHeight="1" x14ac:dyDescent="0.2">
      <c r="A243" s="33"/>
      <c r="B243" s="33"/>
      <c r="C243" s="9" t="s">
        <v>239</v>
      </c>
      <c r="D243" s="47"/>
      <c r="E243" s="55"/>
      <c r="F243" s="55"/>
      <c r="G243" s="55"/>
      <c r="H243" s="55"/>
      <c r="I243" s="53"/>
      <c r="J243" s="55"/>
      <c r="K243" s="55"/>
      <c r="L243" s="14"/>
    </row>
    <row r="244" spans="1:12" s="26" customFormat="1" ht="13.5" customHeight="1" x14ac:dyDescent="0.15">
      <c r="A244" s="21">
        <v>86</v>
      </c>
      <c r="B244" s="29" t="s">
        <v>240</v>
      </c>
      <c r="C244" s="23" t="s">
        <v>241</v>
      </c>
      <c r="D244" s="24" t="s">
        <v>221</v>
      </c>
      <c r="E244" s="25">
        <f>SUM(E245:E262)</f>
        <v>655786699</v>
      </c>
      <c r="F244" s="25">
        <f t="shared" ref="F244:K244" si="25">SUM(F245:F262)</f>
        <v>128665381</v>
      </c>
      <c r="G244" s="25">
        <f t="shared" si="25"/>
        <v>12807441</v>
      </c>
      <c r="H244" s="25">
        <f t="shared" si="25"/>
        <v>514313877</v>
      </c>
      <c r="I244" s="25">
        <f t="shared" si="25"/>
        <v>213598639</v>
      </c>
      <c r="J244" s="25">
        <f t="shared" si="25"/>
        <v>14569161</v>
      </c>
      <c r="K244" s="25">
        <f t="shared" si="25"/>
        <v>869385338</v>
      </c>
      <c r="L244" s="25"/>
    </row>
    <row r="245" spans="1:12" ht="13.5" customHeight="1" x14ac:dyDescent="0.2">
      <c r="A245" s="21"/>
      <c r="B245" s="21"/>
      <c r="C245" s="9" t="s">
        <v>148</v>
      </c>
      <c r="D245" s="12" t="s">
        <v>107</v>
      </c>
      <c r="E245" s="14">
        <v>145780488</v>
      </c>
      <c r="F245" s="14"/>
      <c r="G245" s="14">
        <v>12807441</v>
      </c>
      <c r="H245" s="13">
        <f>E245-F245-G245</f>
        <v>132973047</v>
      </c>
      <c r="I245" s="27"/>
      <c r="J245" s="27"/>
      <c r="K245" s="13">
        <f>E245+I245</f>
        <v>145780488</v>
      </c>
      <c r="L245" s="14"/>
    </row>
    <row r="246" spans="1:12" ht="13.5" customHeight="1" x14ac:dyDescent="0.2">
      <c r="A246" s="21"/>
      <c r="B246" s="21"/>
      <c r="C246" s="9" t="s">
        <v>242</v>
      </c>
      <c r="D246" s="47" t="s">
        <v>243</v>
      </c>
      <c r="E246" s="51">
        <f>510049298-43087</f>
        <v>510006211</v>
      </c>
      <c r="F246" s="62">
        <f>108919412-515239+614830+19646378</f>
        <v>128665381</v>
      </c>
      <c r="G246" s="51"/>
      <c r="H246" s="44">
        <f>E246-F246-G246</f>
        <v>381340830</v>
      </c>
      <c r="I246" s="51">
        <f>213548429+50210</f>
        <v>213598639</v>
      </c>
      <c r="J246" s="51">
        <v>14569161</v>
      </c>
      <c r="K246" s="62">
        <f>E246+I246</f>
        <v>723604850</v>
      </c>
      <c r="L246" s="14"/>
    </row>
    <row r="247" spans="1:12" ht="13.5" customHeight="1" x14ac:dyDescent="0.2">
      <c r="A247" s="21"/>
      <c r="B247" s="21"/>
      <c r="C247" s="9" t="s">
        <v>244</v>
      </c>
      <c r="D247" s="47"/>
      <c r="E247" s="54"/>
      <c r="F247" s="63"/>
      <c r="G247" s="54"/>
      <c r="H247" s="45"/>
      <c r="I247" s="52"/>
      <c r="J247" s="54"/>
      <c r="K247" s="54"/>
      <c r="L247" s="14"/>
    </row>
    <row r="248" spans="1:12" ht="13.5" customHeight="1" x14ac:dyDescent="0.2">
      <c r="A248" s="21"/>
      <c r="B248" s="21"/>
      <c r="C248" s="9" t="s">
        <v>245</v>
      </c>
      <c r="D248" s="47"/>
      <c r="E248" s="54"/>
      <c r="F248" s="63"/>
      <c r="G248" s="54"/>
      <c r="H248" s="45"/>
      <c r="I248" s="52"/>
      <c r="J248" s="54"/>
      <c r="K248" s="54"/>
      <c r="L248" s="14"/>
    </row>
    <row r="249" spans="1:12" ht="13.5" customHeight="1" x14ac:dyDescent="0.2">
      <c r="A249" s="21"/>
      <c r="B249" s="21"/>
      <c r="C249" s="9" t="s">
        <v>246</v>
      </c>
      <c r="D249" s="47"/>
      <c r="E249" s="54"/>
      <c r="F249" s="63"/>
      <c r="G249" s="54"/>
      <c r="H249" s="45"/>
      <c r="I249" s="52"/>
      <c r="J249" s="54"/>
      <c r="K249" s="54"/>
      <c r="L249" s="14"/>
    </row>
    <row r="250" spans="1:12" ht="13.5" customHeight="1" x14ac:dyDescent="0.2">
      <c r="A250" s="21"/>
      <c r="B250" s="21"/>
      <c r="C250" s="9" t="s">
        <v>247</v>
      </c>
      <c r="D250" s="47"/>
      <c r="E250" s="54"/>
      <c r="F250" s="63"/>
      <c r="G250" s="54"/>
      <c r="H250" s="45"/>
      <c r="I250" s="52"/>
      <c r="J250" s="54"/>
      <c r="K250" s="54"/>
      <c r="L250" s="14"/>
    </row>
    <row r="251" spans="1:12" ht="13.5" customHeight="1" x14ac:dyDescent="0.2">
      <c r="A251" s="21"/>
      <c r="B251" s="21"/>
      <c r="C251" s="9" t="s">
        <v>248</v>
      </c>
      <c r="D251" s="47"/>
      <c r="E251" s="54"/>
      <c r="F251" s="63"/>
      <c r="G251" s="54"/>
      <c r="H251" s="45"/>
      <c r="I251" s="52"/>
      <c r="J251" s="54"/>
      <c r="K251" s="54"/>
      <c r="L251" s="14"/>
    </row>
    <row r="252" spans="1:12" ht="13.5" customHeight="1" x14ac:dyDescent="0.2">
      <c r="A252" s="21"/>
      <c r="B252" s="21"/>
      <c r="C252" s="9" t="s">
        <v>249</v>
      </c>
      <c r="D252" s="47"/>
      <c r="E252" s="54"/>
      <c r="F252" s="63"/>
      <c r="G252" s="54"/>
      <c r="H252" s="45"/>
      <c r="I252" s="52"/>
      <c r="J252" s="54"/>
      <c r="K252" s="54"/>
      <c r="L252" s="14"/>
    </row>
    <row r="253" spans="1:12" ht="13.5" customHeight="1" x14ac:dyDescent="0.2">
      <c r="A253" s="21"/>
      <c r="B253" s="21"/>
      <c r="C253" s="9" t="s">
        <v>250</v>
      </c>
      <c r="D253" s="47"/>
      <c r="E253" s="54"/>
      <c r="F253" s="63"/>
      <c r="G253" s="54"/>
      <c r="H253" s="45"/>
      <c r="I253" s="52"/>
      <c r="J253" s="54"/>
      <c r="K253" s="54"/>
      <c r="L253" s="14"/>
    </row>
    <row r="254" spans="1:12" ht="13.5" customHeight="1" x14ac:dyDescent="0.2">
      <c r="A254" s="21"/>
      <c r="B254" s="21"/>
      <c r="C254" s="9" t="s">
        <v>251</v>
      </c>
      <c r="D254" s="47"/>
      <c r="E254" s="54"/>
      <c r="F254" s="63"/>
      <c r="G254" s="54"/>
      <c r="H254" s="45"/>
      <c r="I254" s="52"/>
      <c r="J254" s="54"/>
      <c r="K254" s="54"/>
      <c r="L254" s="14"/>
    </row>
    <row r="255" spans="1:12" ht="13.5" customHeight="1" x14ac:dyDescent="0.2">
      <c r="A255" s="21"/>
      <c r="B255" s="21"/>
      <c r="C255" s="9" t="s">
        <v>252</v>
      </c>
      <c r="D255" s="47"/>
      <c r="E255" s="54"/>
      <c r="F255" s="63"/>
      <c r="G255" s="54"/>
      <c r="H255" s="45"/>
      <c r="I255" s="52"/>
      <c r="J255" s="54"/>
      <c r="K255" s="54"/>
      <c r="L255" s="14"/>
    </row>
    <row r="256" spans="1:12" ht="13.5" customHeight="1" x14ac:dyDescent="0.2">
      <c r="A256" s="21"/>
      <c r="B256" s="21"/>
      <c r="C256" s="9">
        <v>22213</v>
      </c>
      <c r="D256" s="47"/>
      <c r="E256" s="54"/>
      <c r="F256" s="63"/>
      <c r="G256" s="54"/>
      <c r="H256" s="45"/>
      <c r="I256" s="52"/>
      <c r="J256" s="54"/>
      <c r="K256" s="54"/>
      <c r="L256" s="14"/>
    </row>
    <row r="257" spans="1:12" ht="13.5" customHeight="1" x14ac:dyDescent="0.2">
      <c r="A257" s="21"/>
      <c r="B257" s="21"/>
      <c r="C257" s="9" t="s">
        <v>253</v>
      </c>
      <c r="D257" s="47"/>
      <c r="E257" s="54"/>
      <c r="F257" s="63"/>
      <c r="G257" s="54"/>
      <c r="H257" s="45"/>
      <c r="I257" s="52"/>
      <c r="J257" s="54"/>
      <c r="K257" s="54"/>
      <c r="L257" s="14"/>
    </row>
    <row r="258" spans="1:12" ht="13.5" customHeight="1" x14ac:dyDescent="0.2">
      <c r="A258" s="21"/>
      <c r="B258" s="21"/>
      <c r="C258" s="9" t="s">
        <v>254</v>
      </c>
      <c r="D258" s="47"/>
      <c r="E258" s="54"/>
      <c r="F258" s="63"/>
      <c r="G258" s="54"/>
      <c r="H258" s="45"/>
      <c r="I258" s="52"/>
      <c r="J258" s="54"/>
      <c r="K258" s="54"/>
      <c r="L258" s="14"/>
    </row>
    <row r="259" spans="1:12" ht="13.5" customHeight="1" x14ac:dyDescent="0.2">
      <c r="A259" s="21"/>
      <c r="B259" s="21"/>
      <c r="C259" s="9" t="s">
        <v>255</v>
      </c>
      <c r="D259" s="47"/>
      <c r="E259" s="54"/>
      <c r="F259" s="63"/>
      <c r="G259" s="54"/>
      <c r="H259" s="45"/>
      <c r="I259" s="52"/>
      <c r="J259" s="54"/>
      <c r="K259" s="54"/>
      <c r="L259" s="14"/>
    </row>
    <row r="260" spans="1:12" ht="13.5" customHeight="1" x14ac:dyDescent="0.2">
      <c r="A260" s="21"/>
      <c r="B260" s="21"/>
      <c r="C260" s="9" t="s">
        <v>256</v>
      </c>
      <c r="D260" s="47"/>
      <c r="E260" s="54"/>
      <c r="F260" s="63"/>
      <c r="G260" s="54"/>
      <c r="H260" s="45"/>
      <c r="I260" s="52"/>
      <c r="J260" s="54"/>
      <c r="K260" s="54"/>
      <c r="L260" s="14"/>
    </row>
    <row r="261" spans="1:12" ht="13.5" customHeight="1" x14ac:dyDescent="0.2">
      <c r="A261" s="21"/>
      <c r="B261" s="21"/>
      <c r="C261" s="9">
        <v>22205</v>
      </c>
      <c r="D261" s="47"/>
      <c r="E261" s="54"/>
      <c r="F261" s="63"/>
      <c r="G261" s="54"/>
      <c r="H261" s="45"/>
      <c r="I261" s="52"/>
      <c r="J261" s="54"/>
      <c r="K261" s="54"/>
      <c r="L261" s="14"/>
    </row>
    <row r="262" spans="1:12" ht="13.5" customHeight="1" x14ac:dyDescent="0.2">
      <c r="A262" s="21"/>
      <c r="B262" s="21"/>
      <c r="C262" s="9" t="s">
        <v>257</v>
      </c>
      <c r="D262" s="47"/>
      <c r="E262" s="55"/>
      <c r="F262" s="64"/>
      <c r="G262" s="55"/>
      <c r="H262" s="46"/>
      <c r="I262" s="53"/>
      <c r="J262" s="55"/>
      <c r="K262" s="55"/>
      <c r="L262" s="14"/>
    </row>
    <row r="263" spans="1:12" s="26" customFormat="1" ht="13.5" customHeight="1" x14ac:dyDescent="0.15">
      <c r="A263" s="21">
        <v>87</v>
      </c>
      <c r="B263" s="22" t="s">
        <v>258</v>
      </c>
      <c r="C263" s="23" t="s">
        <v>259</v>
      </c>
      <c r="D263" s="24" t="s">
        <v>221</v>
      </c>
      <c r="E263" s="25">
        <v>201119243</v>
      </c>
      <c r="F263" s="25">
        <v>195196175</v>
      </c>
      <c r="G263" s="25"/>
      <c r="H263" s="18">
        <f>E263-F263-G263</f>
        <v>5923068</v>
      </c>
      <c r="I263" s="25">
        <v>39275415</v>
      </c>
      <c r="J263" s="25"/>
      <c r="K263" s="18">
        <f>E263+I263</f>
        <v>240394658</v>
      </c>
      <c r="L263" s="25"/>
    </row>
    <row r="264" spans="1:12" s="26" customFormat="1" ht="13.5" customHeight="1" x14ac:dyDescent="0.15">
      <c r="A264" s="21">
        <v>88</v>
      </c>
      <c r="B264" s="28" t="s">
        <v>260</v>
      </c>
      <c r="C264" s="23" t="s">
        <v>261</v>
      </c>
      <c r="D264" s="24" t="s">
        <v>221</v>
      </c>
      <c r="E264" s="25">
        <v>249640674</v>
      </c>
      <c r="F264" s="25"/>
      <c r="G264" s="25">
        <v>69979819</v>
      </c>
      <c r="H264" s="18">
        <f>E264-F264-G264</f>
        <v>179660855</v>
      </c>
      <c r="I264" s="25">
        <v>31574830</v>
      </c>
      <c r="J264" s="25"/>
      <c r="K264" s="18">
        <f>E264+I264</f>
        <v>281215504</v>
      </c>
      <c r="L264" s="25"/>
    </row>
    <row r="265" spans="1:12" s="26" customFormat="1" ht="13.5" customHeight="1" x14ac:dyDescent="0.15">
      <c r="A265" s="21">
        <v>89</v>
      </c>
      <c r="B265" s="28" t="s">
        <v>262</v>
      </c>
      <c r="C265" s="23" t="s">
        <v>263</v>
      </c>
      <c r="D265" s="24" t="s">
        <v>221</v>
      </c>
      <c r="E265" s="18">
        <v>52286263</v>
      </c>
      <c r="F265" s="18">
        <v>252348</v>
      </c>
      <c r="G265" s="18">
        <v>96954</v>
      </c>
      <c r="H265" s="18">
        <f>E265-F265-G265</f>
        <v>51936961</v>
      </c>
      <c r="I265" s="18">
        <v>2677700</v>
      </c>
      <c r="J265" s="18"/>
      <c r="K265" s="18">
        <f>E265+I265</f>
        <v>54963963</v>
      </c>
      <c r="L265" s="25"/>
    </row>
    <row r="266" spans="1:12" s="26" customFormat="1" ht="28.5" customHeight="1" x14ac:dyDescent="0.15">
      <c r="A266" s="21"/>
      <c r="B266" s="21"/>
      <c r="C266" s="23" t="s">
        <v>264</v>
      </c>
      <c r="D266" s="24"/>
      <c r="E266" s="18">
        <f>F266+G266+H266</f>
        <v>2485217966</v>
      </c>
      <c r="F266" s="18">
        <f>71979837+16766877</f>
        <v>88746714</v>
      </c>
      <c r="G266" s="18"/>
      <c r="H266" s="18">
        <f>3701491845-13084+3679724-63801+13447457+50565+2235477-238675-36572574-3697360-1283868768+20446</f>
        <v>2396471252</v>
      </c>
      <c r="I266" s="18">
        <f>60012138-2596558-346618-373589</f>
        <v>56695373</v>
      </c>
      <c r="J266" s="18"/>
      <c r="K266" s="18">
        <f>E266+I266</f>
        <v>2541913339</v>
      </c>
      <c r="L266" s="34"/>
    </row>
    <row r="267" spans="1:12" ht="13.5" customHeight="1" x14ac:dyDescent="0.2">
      <c r="A267" s="35"/>
      <c r="B267" s="35"/>
      <c r="C267" s="21" t="s">
        <v>265</v>
      </c>
      <c r="D267" s="36"/>
      <c r="E267" s="18">
        <f t="shared" ref="E267:L267" si="26">SUM(E6:E69)+E77+E82+E86+E91+E97+E101+E112+E116+E124+E127+E131+E135+E148+E160+E166+E174+E183+E191+E201+E223+E224+E244+E263+E264+E265+E266</f>
        <v>23362189997</v>
      </c>
      <c r="F267" s="18">
        <f t="shared" si="26"/>
        <v>3679301759</v>
      </c>
      <c r="G267" s="18">
        <f t="shared" si="26"/>
        <v>547374992</v>
      </c>
      <c r="H267" s="18">
        <f t="shared" si="26"/>
        <v>19135513246</v>
      </c>
      <c r="I267" s="18">
        <f t="shared" si="26"/>
        <v>3209377785</v>
      </c>
      <c r="J267" s="18">
        <f t="shared" si="26"/>
        <v>267562911</v>
      </c>
      <c r="K267" s="18">
        <f t="shared" si="26"/>
        <v>26571567782</v>
      </c>
      <c r="L267" s="18">
        <f t="shared" si="26"/>
        <v>167746963</v>
      </c>
    </row>
  </sheetData>
  <mergeCells count="184">
    <mergeCell ref="J246:J262"/>
    <mergeCell ref="K246:K262"/>
    <mergeCell ref="D246:D262"/>
    <mergeCell ref="E246:E262"/>
    <mergeCell ref="F246:F262"/>
    <mergeCell ref="G246:G262"/>
    <mergeCell ref="H246:H262"/>
    <mergeCell ref="I246:I262"/>
    <mergeCell ref="J215:J222"/>
    <mergeCell ref="K215:K222"/>
    <mergeCell ref="D226:D243"/>
    <mergeCell ref="E226:E243"/>
    <mergeCell ref="F226:F243"/>
    <mergeCell ref="G226:G243"/>
    <mergeCell ref="H226:H243"/>
    <mergeCell ref="I226:I243"/>
    <mergeCell ref="J226:J243"/>
    <mergeCell ref="K226:K243"/>
    <mergeCell ref="D215:D222"/>
    <mergeCell ref="E215:E222"/>
    <mergeCell ref="F215:F222"/>
    <mergeCell ref="G215:G222"/>
    <mergeCell ref="H215:H222"/>
    <mergeCell ref="I215:I222"/>
    <mergeCell ref="J193:J200"/>
    <mergeCell ref="K193:K200"/>
    <mergeCell ref="D203:D214"/>
    <mergeCell ref="E203:E214"/>
    <mergeCell ref="F203:F214"/>
    <mergeCell ref="G203:G214"/>
    <mergeCell ref="H203:H214"/>
    <mergeCell ref="I203:I214"/>
    <mergeCell ref="J203:J214"/>
    <mergeCell ref="K203:K214"/>
    <mergeCell ref="D193:D200"/>
    <mergeCell ref="E193:E200"/>
    <mergeCell ref="F193:F200"/>
    <mergeCell ref="G193:G200"/>
    <mergeCell ref="H193:H200"/>
    <mergeCell ref="I193:I200"/>
    <mergeCell ref="J176:J182"/>
    <mergeCell ref="K176:K182"/>
    <mergeCell ref="D185:D190"/>
    <mergeCell ref="E185:E190"/>
    <mergeCell ref="F185:F190"/>
    <mergeCell ref="G185:G190"/>
    <mergeCell ref="H185:H190"/>
    <mergeCell ref="I185:I190"/>
    <mergeCell ref="J185:J190"/>
    <mergeCell ref="K185:K190"/>
    <mergeCell ref="D176:D182"/>
    <mergeCell ref="E176:E182"/>
    <mergeCell ref="F176:F182"/>
    <mergeCell ref="G176:G182"/>
    <mergeCell ref="H176:H182"/>
    <mergeCell ref="I176:I182"/>
    <mergeCell ref="D168:D173"/>
    <mergeCell ref="E168:E173"/>
    <mergeCell ref="H168:H173"/>
    <mergeCell ref="I168:I173"/>
    <mergeCell ref="J168:J173"/>
    <mergeCell ref="K168:K173"/>
    <mergeCell ref="J150:J159"/>
    <mergeCell ref="K150:K159"/>
    <mergeCell ref="D162:D165"/>
    <mergeCell ref="E162:E165"/>
    <mergeCell ref="F162:F165"/>
    <mergeCell ref="G162:G165"/>
    <mergeCell ref="H162:H165"/>
    <mergeCell ref="I162:I165"/>
    <mergeCell ref="J162:J165"/>
    <mergeCell ref="K162:K165"/>
    <mergeCell ref="D150:D159"/>
    <mergeCell ref="E150:E159"/>
    <mergeCell ref="F150:F159"/>
    <mergeCell ref="G150:G159"/>
    <mergeCell ref="H150:H159"/>
    <mergeCell ref="I150:I159"/>
    <mergeCell ref="J133:J134"/>
    <mergeCell ref="K133:K134"/>
    <mergeCell ref="D137:D147"/>
    <mergeCell ref="E137:E147"/>
    <mergeCell ref="F137:F147"/>
    <mergeCell ref="G137:G147"/>
    <mergeCell ref="H137:H147"/>
    <mergeCell ref="I137:I147"/>
    <mergeCell ref="J137:J147"/>
    <mergeCell ref="K137:K147"/>
    <mergeCell ref="D133:D134"/>
    <mergeCell ref="E133:E134"/>
    <mergeCell ref="F133:F134"/>
    <mergeCell ref="G133:G134"/>
    <mergeCell ref="H133:H134"/>
    <mergeCell ref="I133:I134"/>
    <mergeCell ref="J118:J122"/>
    <mergeCell ref="K118:K122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D118:D122"/>
    <mergeCell ref="E118:E122"/>
    <mergeCell ref="F118:F122"/>
    <mergeCell ref="G118:G122"/>
    <mergeCell ref="H118:H122"/>
    <mergeCell ref="I118:I122"/>
    <mergeCell ref="J103:J111"/>
    <mergeCell ref="K103:K111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D103:D111"/>
    <mergeCell ref="E103:E111"/>
    <mergeCell ref="F103:F111"/>
    <mergeCell ref="G103:G111"/>
    <mergeCell ref="H103:H111"/>
    <mergeCell ref="I103:I111"/>
    <mergeCell ref="J94:J96"/>
    <mergeCell ref="K94:K96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D94:D96"/>
    <mergeCell ref="E94:E96"/>
    <mergeCell ref="F94:F96"/>
    <mergeCell ref="G94:G96"/>
    <mergeCell ref="H94:H96"/>
    <mergeCell ref="I94:I96"/>
    <mergeCell ref="J84:J85"/>
    <mergeCell ref="K84:K85"/>
    <mergeCell ref="D88:D90"/>
    <mergeCell ref="E88:E90"/>
    <mergeCell ref="F88:F90"/>
    <mergeCell ref="G88:G90"/>
    <mergeCell ref="H88:H90"/>
    <mergeCell ref="I88:I90"/>
    <mergeCell ref="J88:J90"/>
    <mergeCell ref="K88:K90"/>
    <mergeCell ref="D84:D85"/>
    <mergeCell ref="E84:E85"/>
    <mergeCell ref="F84:F85"/>
    <mergeCell ref="G84:G85"/>
    <mergeCell ref="H84:H85"/>
    <mergeCell ref="I84:I85"/>
    <mergeCell ref="J72:J76"/>
    <mergeCell ref="K72:K76"/>
    <mergeCell ref="D79:D81"/>
    <mergeCell ref="E79:E81"/>
    <mergeCell ref="F79:F81"/>
    <mergeCell ref="G79:G81"/>
    <mergeCell ref="H79:H81"/>
    <mergeCell ref="I79:I81"/>
    <mergeCell ref="J79:J81"/>
    <mergeCell ref="K79:K81"/>
    <mergeCell ref="D72:D76"/>
    <mergeCell ref="E72:E76"/>
    <mergeCell ref="F72:F76"/>
    <mergeCell ref="G72:G76"/>
    <mergeCell ref="H72:H76"/>
    <mergeCell ref="I72:I76"/>
    <mergeCell ref="A1:L1"/>
    <mergeCell ref="A3:A4"/>
    <mergeCell ref="B3:B4"/>
    <mergeCell ref="C3:C4"/>
    <mergeCell ref="D3:D4"/>
    <mergeCell ref="E3:E4"/>
    <mergeCell ref="F3:H3"/>
    <mergeCell ref="I3:I4"/>
    <mergeCell ref="K3:K4"/>
    <mergeCell ref="L3:L4"/>
  </mergeCells>
  <conditionalFormatting sqref="C21">
    <cfRule type="duplicateValues" dxfId="16" priority="17" stopIfTrue="1"/>
  </conditionalFormatting>
  <conditionalFormatting sqref="C22">
    <cfRule type="duplicateValues" dxfId="15" priority="16" stopIfTrue="1"/>
  </conditionalFormatting>
  <conditionalFormatting sqref="C23">
    <cfRule type="duplicateValues" dxfId="14" priority="15" stopIfTrue="1"/>
  </conditionalFormatting>
  <conditionalFormatting sqref="C24:C25">
    <cfRule type="duplicateValues" dxfId="13" priority="14" stopIfTrue="1"/>
  </conditionalFormatting>
  <conditionalFormatting sqref="C26:C27">
    <cfRule type="duplicateValues" dxfId="12" priority="13" stopIfTrue="1"/>
  </conditionalFormatting>
  <conditionalFormatting sqref="C28:C29">
    <cfRule type="duplicateValues" dxfId="11" priority="12" stopIfTrue="1"/>
  </conditionalFormatting>
  <conditionalFormatting sqref="C30">
    <cfRule type="duplicateValues" dxfId="10" priority="11" stopIfTrue="1"/>
  </conditionalFormatting>
  <conditionalFormatting sqref="C31:C32">
    <cfRule type="duplicateValues" dxfId="9" priority="10" stopIfTrue="1"/>
  </conditionalFormatting>
  <conditionalFormatting sqref="C33:C34">
    <cfRule type="duplicateValues" dxfId="8" priority="9" stopIfTrue="1"/>
  </conditionalFormatting>
  <conditionalFormatting sqref="C35:C36">
    <cfRule type="duplicateValues" dxfId="7" priority="8" stopIfTrue="1"/>
  </conditionalFormatting>
  <conditionalFormatting sqref="C37:C38">
    <cfRule type="duplicateValues" dxfId="6" priority="7" stopIfTrue="1"/>
  </conditionalFormatting>
  <conditionalFormatting sqref="C39:C40">
    <cfRule type="duplicateValues" dxfId="5" priority="6" stopIfTrue="1"/>
  </conditionalFormatting>
  <conditionalFormatting sqref="C41:C42">
    <cfRule type="duplicateValues" dxfId="4" priority="5" stopIfTrue="1"/>
  </conditionalFormatting>
  <conditionalFormatting sqref="C43:C44">
    <cfRule type="duplicateValues" dxfId="3" priority="4" stopIfTrue="1"/>
  </conditionalFormatting>
  <conditionalFormatting sqref="C45:C46">
    <cfRule type="duplicateValues" dxfId="2" priority="3" stopIfTrue="1"/>
  </conditionalFormatting>
  <conditionalFormatting sqref="C47:C48">
    <cfRule type="duplicateValues" dxfId="1" priority="2" stopIfTrue="1"/>
  </conditionalFormatting>
  <conditionalFormatting sqref="C49:C50">
    <cfRule type="duplicateValues" dxfId="0" priority="1" stopIfTrue="1"/>
  </conditionalFormatting>
  <pageMargins left="0.70866141732283472" right="0.31496062992125984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 Самойлова</dc:creator>
  <cp:lastModifiedBy>Гузель Самойлова</cp:lastModifiedBy>
  <cp:lastPrinted>2021-06-25T04:20:33Z</cp:lastPrinted>
  <dcterms:created xsi:type="dcterms:W3CDTF">2021-06-25T03:51:17Z</dcterms:created>
  <dcterms:modified xsi:type="dcterms:W3CDTF">2021-06-25T04:23:22Z</dcterms:modified>
</cp:coreProperties>
</file>