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ORDLEN\Data\OSIT\Т А Р И Ф Н Ы Е\для сайта\2026\Протокол 9-26\"/>
    </mc:Choice>
  </mc:AlternateContent>
  <bookViews>
    <workbookView xWindow="0" yWindow="0" windowWidth="14025" windowHeight="11025" tabRatio="895" activeTab="4"/>
  </bookViews>
  <sheets>
    <sheet name="Объемы КС (Пр.9-26)" sheetId="29" r:id="rId1"/>
    <sheet name="ВМП КС (Пр.9-26)" sheetId="30" r:id="rId2"/>
    <sheet name="ВМП ДС (Пр.16-25)" sheetId="33" r:id="rId3"/>
    <sheet name="ДС (9-26)" sheetId="78" r:id="rId4"/>
    <sheet name="СМП (9-26)" sheetId="79" r:id="rId5"/>
    <sheet name="Обращения 8-26" sheetId="3" r:id="rId6"/>
    <sheet name="МР в АПУ 2026 объемы 9-26 " sheetId="77" r:id="rId7"/>
    <sheet name="Проф.Свод (Пр.9-26)   " sheetId="72" r:id="rId8"/>
    <sheet name="Углуб.дисп.1 и 2 эт.(Пр.1-26)" sheetId="4" r:id="rId9"/>
    <sheet name="ДОРЗ 1 и 2 этап (Пр.16-25)" sheetId="5" r:id="rId10"/>
    <sheet name="Пос. по дисп.набл. (Пр.8-26) " sheetId="73" r:id="rId11"/>
    <sheet name="Раз.пос.(Пр.9-26) " sheetId="74" r:id="rId12"/>
    <sheet name="Пос. ср.мед.пер. (Пр.9-26)  " sheetId="75" r:id="rId13"/>
    <sheet name="Пос с др.целями(Пр.9-26)  " sheetId="76" r:id="rId14"/>
    <sheet name="Центры здор.взросл Пр.9-26 " sheetId="66" r:id="rId15"/>
    <sheet name="Компл.посещ. ДН (9-26)" sheetId="36" r:id="rId16"/>
    <sheet name="Дистанц. набл.(3-26)" sheetId="54" r:id="rId17"/>
    <sheet name="КТ, МРТ, КТПЭТ, ОФЭКТ(9-26)" sheetId="24" r:id="rId18"/>
    <sheet name="УЗИ ССС(8-26)" sheetId="25" r:id="rId19"/>
    <sheet name="ЭИ, ПАИ, МГИ(9-26)" sheetId="26" r:id="rId20"/>
    <sheet name="НИПТ, РНК геп С, Лаб.геп (8-26)" sheetId="27" r:id="rId21"/>
    <sheet name="ШХНИЗ, ШСД, ШБ (9-26)" sheetId="55" r:id="rId22"/>
    <sheet name="АПУ неотл.пом. (9-26)" sheetId="23" r:id="rId23"/>
    <sheet name="гемодиализ (9-26)" sheetId="53" r:id="rId24"/>
    <sheet name="Долечивание, кибер-нож (16-25)" sheetId="38" r:id="rId25"/>
    <sheet name="Венерология (16-25)" sheetId="39" r:id="rId26"/>
    <sheet name="Паллиатив. МП (8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3">#REF!</definedName>
    <definedName name="__xlnm.Print_Area_2" localSheetId="10">#REF!</definedName>
    <definedName name="__xlnm.Print_Area_2" localSheetId="12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3">#REF!</definedName>
    <definedName name="_GoBack" localSheetId="10">#REF!</definedName>
    <definedName name="_GoBack" localSheetId="12">#REF!</definedName>
    <definedName name="_GoBack" localSheetId="7">#REF!</definedName>
    <definedName name="_GoBack" localSheetId="11">#REF!</definedName>
    <definedName name="_GoBack" localSheetId="4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 (9-26)'!$A$9:$C$144</definedName>
    <definedName name="_xlnm._FilterDatabase" localSheetId="1" hidden="1">'ВМП КС (Пр.9-26)'!$A$4:$AJ$4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(9-26)'!$A$5:$M$143</definedName>
    <definedName name="_xlnm._FilterDatabase" localSheetId="17" hidden="1">'КТ, МРТ, КТПЭТ, ОФЭКТ(9-26)'!$D$9:$O$9</definedName>
    <definedName name="_xlnm._FilterDatabase" localSheetId="20" hidden="1">'НИПТ, РНК геп С, Лаб.геп (8-26)'!$D$9:$H$9</definedName>
    <definedName name="_xlnm._FilterDatabase" localSheetId="5" hidden="1">'Обращения 8-26'!$A$10:$C$145</definedName>
    <definedName name="_xlnm._FilterDatabase" localSheetId="0" hidden="1">'Объемы КС (Пр.9-26)'!$A$8:$WVX$8</definedName>
    <definedName name="_xlnm._FilterDatabase" localSheetId="13" hidden="1">'Пос с др.целями(Пр.9-26)  '!#REF!</definedName>
    <definedName name="_xlnm._FilterDatabase" localSheetId="10" hidden="1">'Пос. по дисп.набл. (Пр.8-26) '!#REF!</definedName>
    <definedName name="_xlnm._FilterDatabase" localSheetId="12" hidden="1">'Пос. ср.мед.пер. (Пр.9-26)  '!#REF!</definedName>
    <definedName name="_xlnm._FilterDatabase" localSheetId="7" hidden="1">'Проф.Свод (Пр.9-26)   '!#REF!</definedName>
    <definedName name="_xlnm._FilterDatabase" localSheetId="11" hidden="1">'Раз.пос.(Пр.9-26) '!#REF!</definedName>
    <definedName name="_xlnm._FilterDatabase" localSheetId="4" hidden="1">'СМП (9-26)'!$A$7:$L$19</definedName>
    <definedName name="_xlnm._FilterDatabase" localSheetId="8" hidden="1">'Углуб.дисп.1 и 2 эт.(Пр.1-26)'!$A$6:$K$148</definedName>
    <definedName name="_xlnm._FilterDatabase" localSheetId="18" hidden="1">'УЗИ ССС(8-26)'!$D$9:$H$9</definedName>
    <definedName name="_xlnm._FilterDatabase" localSheetId="14" hidden="1">'Центры здор.взросл Пр.9-26 '!#REF!</definedName>
    <definedName name="_xlnm._FilterDatabase" localSheetId="21" hidden="1">'ШХНИЗ, ШСД, ШБ (9-26)'!$A$11:$C$146</definedName>
    <definedName name="_xlnm._FilterDatabase" localSheetId="19" hidden="1">'ЭИ, ПАИ, МГИ(9-26)'!$D$10:$O$10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3">#REF!</definedName>
    <definedName name="F" localSheetId="10">#REF!</definedName>
    <definedName name="F" localSheetId="12">#REF!</definedName>
    <definedName name="F" localSheetId="7">#REF!</definedName>
    <definedName name="F" localSheetId="11">#REF!</definedName>
    <definedName name="F" localSheetId="4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3">#REF!</definedName>
    <definedName name="Kbcn" localSheetId="10">#REF!</definedName>
    <definedName name="Kbcn" localSheetId="12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3">#REF!</definedName>
    <definedName name="Neot_17" localSheetId="10">#REF!</definedName>
    <definedName name="Neot_17" localSheetId="12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3">#REF!</definedName>
    <definedName name="Pr" localSheetId="10">#REF!</definedName>
    <definedName name="Pr" localSheetId="12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3">#REF!</definedName>
    <definedName name="res2_range" localSheetId="10">#REF!</definedName>
    <definedName name="res2_range" localSheetId="12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3">#REF!</definedName>
    <definedName name="Tg_CZ" localSheetId="10">#REF!</definedName>
    <definedName name="Tg_CZ" localSheetId="12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3">#REF!</definedName>
    <definedName name="Tg_Disp" localSheetId="10">#REF!</definedName>
    <definedName name="Tg_Disp" localSheetId="12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3">#REF!</definedName>
    <definedName name="Tg_Fin" localSheetId="10">#REF!</definedName>
    <definedName name="Tg_Fin" localSheetId="12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3">#REF!</definedName>
    <definedName name="Tg_Geri" localSheetId="10">#REF!</definedName>
    <definedName name="Tg_Geri" localSheetId="12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3">#REF!</definedName>
    <definedName name="Tg_Kons" localSheetId="10">#REF!</definedName>
    <definedName name="Tg_Kons" localSheetId="12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3">#REF!</definedName>
    <definedName name="Tg_Med" localSheetId="10">#REF!</definedName>
    <definedName name="Tg_Med" localSheetId="12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3">#REF!</definedName>
    <definedName name="Tg_Neot" localSheetId="10">#REF!</definedName>
    <definedName name="Tg_Neot" localSheetId="12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3">#REF!</definedName>
    <definedName name="Tg_Nepr" localSheetId="10">#REF!</definedName>
    <definedName name="Tg_Nepr" localSheetId="12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3">#REF!</definedName>
    <definedName name="Tg_Obr" localSheetId="10">#REF!</definedName>
    <definedName name="Tg_Obr" localSheetId="12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3">#REF!</definedName>
    <definedName name="Tg_Reestr" localSheetId="10">#REF!</definedName>
    <definedName name="Tg_Reestr" localSheetId="12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3">#REF!</definedName>
    <definedName name="TgDs" localSheetId="10">#REF!</definedName>
    <definedName name="TgDs" localSheetId="12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3">#REF!</definedName>
    <definedName name="TgSMP" localSheetId="10">#REF!</definedName>
    <definedName name="TgSMP" localSheetId="12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3" hidden="1">[1]XLR_NoRangeSheet!$B$6</definedName>
    <definedName name="XLRPARAMS_ISP_FIO" localSheetId="10" hidden="1">[1]XLR_NoRangeSheet!$B$6</definedName>
    <definedName name="XLRPARAMS_ISP_FIO" localSheetId="12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3" hidden="1">[1]XLR_NoRangeSheet!$D$6</definedName>
    <definedName name="XLRPARAMS_MP_NAME" localSheetId="10" hidden="1">[1]XLR_NoRangeSheet!$D$6</definedName>
    <definedName name="XLRPARAMS_MP_NAME" localSheetId="12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3" hidden="1">[1]XLR_NoRangeSheet!$C$6</definedName>
    <definedName name="XLRPARAMS_STR_PERIOD" localSheetId="10" hidden="1">[1]XLR_NoRangeSheet!$C$6</definedName>
    <definedName name="XLRPARAMS_STR_PERIOD" localSheetId="12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3">#REF!</definedName>
    <definedName name="апп" localSheetId="10">#REF!</definedName>
    <definedName name="апп" localSheetId="12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3">#REF!</definedName>
    <definedName name="_xlnm.Database" localSheetId="10">#REF!</definedName>
    <definedName name="_xlnm.Database" localSheetId="12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3">#REF!</definedName>
    <definedName name="в" localSheetId="10">#REF!</definedName>
    <definedName name="в" localSheetId="12">#REF!</definedName>
    <definedName name="в" localSheetId="7">#REF!</definedName>
    <definedName name="в" localSheetId="11">#REF!</definedName>
    <definedName name="в" localSheetId="4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3">[6]Данные!$B$1:$EF$178</definedName>
    <definedName name="Д" localSheetId="10">[5]Данные!$B$1:$EF$178</definedName>
    <definedName name="Д" localSheetId="12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3">#REF!</definedName>
    <definedName name="двн" localSheetId="10">#REF!</definedName>
    <definedName name="двн" localSheetId="12">#REF!</definedName>
    <definedName name="двн" localSheetId="7">#REF!</definedName>
    <definedName name="двн" localSheetId="11">#REF!</definedName>
    <definedName name="двн" localSheetId="4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3">'[10]0-2'!$E:$F</definedName>
    <definedName name="ж0" localSheetId="10">'[11]0-2'!$E:$F</definedName>
    <definedName name="ж0" localSheetId="12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3">'[10]0-2'!$I:$J</definedName>
    <definedName name="ж1" localSheetId="10">'[11]0-2'!$I:$J</definedName>
    <definedName name="ж1" localSheetId="12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3">'[12]2+'!$AK:$AL</definedName>
    <definedName name="ж10" localSheetId="10">'[4]2+'!$AK:$AL</definedName>
    <definedName name="ж10" localSheetId="12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3">'[12]2+'!$OG:$OH</definedName>
    <definedName name="ж100" localSheetId="10">'[4]2+'!$OG:$OH</definedName>
    <definedName name="ж100" localSheetId="12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3">'[12]2+'!$OK:$OL</definedName>
    <definedName name="ж101" localSheetId="10">'[4]2+'!$OK:$OL</definedName>
    <definedName name="ж101" localSheetId="12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3">'[12]2+'!$OO:$OP</definedName>
    <definedName name="ж102" localSheetId="10">'[4]2+'!$OO:$OP</definedName>
    <definedName name="ж102" localSheetId="12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3">'[12]2+'!$OS:$OT</definedName>
    <definedName name="ж103" localSheetId="10">'[4]2+'!$OS:$OT</definedName>
    <definedName name="ж103" localSheetId="12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3">'[12]2+'!$OW:$OX</definedName>
    <definedName name="ж104" localSheetId="10">'[4]2+'!$OW:$OX</definedName>
    <definedName name="ж104" localSheetId="12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3">'[12]2+'!$PA:$PB</definedName>
    <definedName name="ж105" localSheetId="10">'[4]2+'!$PA:$PB</definedName>
    <definedName name="ж105" localSheetId="12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3">'[12]2+'!$PE:$PF</definedName>
    <definedName name="ж106" localSheetId="10">'[4]2+'!$PE:$PF</definedName>
    <definedName name="ж106" localSheetId="12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3">'[12]2+'!$PI:$PJ</definedName>
    <definedName name="ж107" localSheetId="10">'[4]2+'!$PI:$PJ</definedName>
    <definedName name="ж107" localSheetId="12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3">'[12]2+'!$PM:$PN</definedName>
    <definedName name="ж108" localSheetId="10">'[4]2+'!$PM:$PN</definedName>
    <definedName name="ж108" localSheetId="12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3">'[12]2+'!$PQ:$PR</definedName>
    <definedName name="ж109" localSheetId="10">'[4]2+'!$PQ:$PR</definedName>
    <definedName name="ж109" localSheetId="12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3">'[12]2+'!$AO:$AP</definedName>
    <definedName name="ж11" localSheetId="10">'[4]2+'!$AO:$AP</definedName>
    <definedName name="ж11" localSheetId="12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3">'[12]2+'!$PU:$PV</definedName>
    <definedName name="ж110" localSheetId="10">'[4]2+'!$PU:$PV</definedName>
    <definedName name="ж110" localSheetId="12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3">'[12]2+'!$PY:$PZ</definedName>
    <definedName name="ж111" localSheetId="10">'[4]2+'!$PY:$PZ</definedName>
    <definedName name="ж111" localSheetId="12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3">'[12]2+'!$QC:$QD</definedName>
    <definedName name="ж112" localSheetId="10">'[4]2+'!$QC:$QD</definedName>
    <definedName name="ж112" localSheetId="12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3">#REF!</definedName>
    <definedName name="ж113" localSheetId="10">#REF!</definedName>
    <definedName name="ж113" localSheetId="12">#REF!</definedName>
    <definedName name="ж113" localSheetId="7">#REF!</definedName>
    <definedName name="ж113" localSheetId="11">#REF!</definedName>
    <definedName name="ж113" localSheetId="4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3">'[12]2+'!$AS:$AT</definedName>
    <definedName name="ж12" localSheetId="10">'[4]2+'!$AS:$AT</definedName>
    <definedName name="ж12" localSheetId="12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3">'[12]2+'!$AW:$AX</definedName>
    <definedName name="ж13" localSheetId="10">'[4]2+'!$AW:$AX</definedName>
    <definedName name="ж13" localSheetId="12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3">'[12]2+'!$BA:$BB</definedName>
    <definedName name="ж14" localSheetId="10">'[4]2+'!$BA:$BB</definedName>
    <definedName name="ж14" localSheetId="12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3">'[12]2+'!$BE:$BF</definedName>
    <definedName name="ж15" localSheetId="10">'[4]2+'!$BE:$BF</definedName>
    <definedName name="ж15" localSheetId="12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3">'[12]2+'!$BI:$BJ</definedName>
    <definedName name="ж16" localSheetId="10">'[4]2+'!$BI:$BJ</definedName>
    <definedName name="ж16" localSheetId="12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3">'[12]2+'!$BM:$BN</definedName>
    <definedName name="ж17" localSheetId="10">'[4]2+'!$BM:$BN</definedName>
    <definedName name="ж17" localSheetId="12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3">'[12]2+'!$BQ:$BR</definedName>
    <definedName name="ж18" localSheetId="10">'[4]2+'!$BQ:$BR</definedName>
    <definedName name="ж18" localSheetId="12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3">'[12]2+'!$BU:$BV</definedName>
    <definedName name="ж19" localSheetId="10">'[4]2+'!$BU:$BV</definedName>
    <definedName name="ж19" localSheetId="12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3">'[12]2+'!$E:$F</definedName>
    <definedName name="ж2" localSheetId="10">'[4]2+'!$E:$F</definedName>
    <definedName name="ж2" localSheetId="12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3">'[12]2+'!$BY:$BZ</definedName>
    <definedName name="ж20" localSheetId="10">'[4]2+'!$BY:$BZ</definedName>
    <definedName name="ж20" localSheetId="12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3">'[12]2+'!$CC:$CD</definedName>
    <definedName name="ж21" localSheetId="10">'[4]2+'!$CC:$CD</definedName>
    <definedName name="ж21" localSheetId="12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3">'[12]2+'!$CG:$CH</definedName>
    <definedName name="ж22" localSheetId="10">'[4]2+'!$CG:$CH</definedName>
    <definedName name="ж22" localSheetId="12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3">'[12]2+'!$CK:$CL</definedName>
    <definedName name="ж23" localSheetId="10">'[4]2+'!$CK:$CL</definedName>
    <definedName name="ж23" localSheetId="12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3">'[12]2+'!$CO:$CP</definedName>
    <definedName name="ж24" localSheetId="10">'[4]2+'!$CO:$CP</definedName>
    <definedName name="ж24" localSheetId="12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3">'[12]2+'!$CS:$CT</definedName>
    <definedName name="ж25" localSheetId="10">'[4]2+'!$CS:$CT</definedName>
    <definedName name="ж25" localSheetId="12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3">'[12]2+'!$CW:$CX</definedName>
    <definedName name="ж26" localSheetId="10">'[4]2+'!$CW:$CX</definedName>
    <definedName name="ж26" localSheetId="12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3">'[12]2+'!$DA:$DB</definedName>
    <definedName name="ж27" localSheetId="10">'[4]2+'!$DA:$DB</definedName>
    <definedName name="ж27" localSheetId="12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3">'[12]2+'!$DE:$DF</definedName>
    <definedName name="ж28" localSheetId="10">'[4]2+'!$DE:$DF</definedName>
    <definedName name="ж28" localSheetId="12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3">'[12]2+'!$DI:$DJ</definedName>
    <definedName name="ж29" localSheetId="10">'[4]2+'!$DI:$DJ</definedName>
    <definedName name="ж29" localSheetId="12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3">'[12]2+'!$I:$J</definedName>
    <definedName name="ж3" localSheetId="10">'[4]2+'!$I:$J</definedName>
    <definedName name="ж3" localSheetId="12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3">'[12]2+'!$DM:$DN</definedName>
    <definedName name="ж30" localSheetId="10">'[4]2+'!$DM:$DN</definedName>
    <definedName name="ж30" localSheetId="12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3">'[12]2+'!$DQ:$DR</definedName>
    <definedName name="ж31" localSheetId="10">'[4]2+'!$DQ:$DR</definedName>
    <definedName name="ж31" localSheetId="12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3">'[12]2+'!$DU:$DV</definedName>
    <definedName name="ж32" localSheetId="10">'[4]2+'!$DU:$DV</definedName>
    <definedName name="ж32" localSheetId="12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3">'[12]2+'!$DY:$DZ</definedName>
    <definedName name="ж33" localSheetId="10">'[4]2+'!$DY:$DZ</definedName>
    <definedName name="ж33" localSheetId="12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3">'[12]2+'!$EC:$ED</definedName>
    <definedName name="ж34" localSheetId="10">'[4]2+'!$EC:$ED</definedName>
    <definedName name="ж34" localSheetId="12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3">'[12]2+'!$EG:$EH</definedName>
    <definedName name="ж35" localSheetId="10">'[4]2+'!$EG:$EH</definedName>
    <definedName name="ж35" localSheetId="12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3">'[12]2+'!$EK:$EL</definedName>
    <definedName name="ж36" localSheetId="10">'[4]2+'!$EK:$EL</definedName>
    <definedName name="ж36" localSheetId="12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3">'[12]2+'!$EO:$EP</definedName>
    <definedName name="ж37" localSheetId="10">'[4]2+'!$EO:$EP</definedName>
    <definedName name="ж37" localSheetId="12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3">'[12]2+'!$ES:$ET</definedName>
    <definedName name="ж38" localSheetId="10">'[4]2+'!$ES:$ET</definedName>
    <definedName name="ж38" localSheetId="12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3">'[12]2+'!$EW:$EX</definedName>
    <definedName name="ж39" localSheetId="10">'[4]2+'!$EW:$EX</definedName>
    <definedName name="ж39" localSheetId="12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3">'[12]2+'!$M:$N</definedName>
    <definedName name="ж4" localSheetId="10">'[4]2+'!$M:$N</definedName>
    <definedName name="ж4" localSheetId="12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3">'[12]2+'!$FA:$FB</definedName>
    <definedName name="ж40" localSheetId="10">'[4]2+'!$FA:$FB</definedName>
    <definedName name="ж40" localSheetId="12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3">'[12]2+'!$FE:$FF</definedName>
    <definedName name="ж41" localSheetId="10">'[4]2+'!$FE:$FF</definedName>
    <definedName name="ж41" localSheetId="12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3">'[12]2+'!$FI:$FJ</definedName>
    <definedName name="ж42" localSheetId="10">'[4]2+'!$FI:$FJ</definedName>
    <definedName name="ж42" localSheetId="12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3">'[12]2+'!$FM:$FN</definedName>
    <definedName name="ж43" localSheetId="10">'[4]2+'!$FM:$FN</definedName>
    <definedName name="ж43" localSheetId="12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3">'[12]2+'!$FQ:$FR</definedName>
    <definedName name="ж44" localSheetId="10">'[4]2+'!$FQ:$FR</definedName>
    <definedName name="ж44" localSheetId="12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3">'[12]2+'!$FU:$FV</definedName>
    <definedName name="ж45" localSheetId="10">'[4]2+'!$FU:$FV</definedName>
    <definedName name="ж45" localSheetId="12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3">'[12]2+'!$FY:$FZ</definedName>
    <definedName name="ж46" localSheetId="10">'[4]2+'!$FY:$FZ</definedName>
    <definedName name="ж46" localSheetId="12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3">'[12]2+'!$GC:$GD</definedName>
    <definedName name="ж47" localSheetId="10">'[4]2+'!$GC:$GD</definedName>
    <definedName name="ж47" localSheetId="12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3">'[12]2+'!$GG:$GH</definedName>
    <definedName name="ж48" localSheetId="10">'[4]2+'!$GG:$GH</definedName>
    <definedName name="ж48" localSheetId="12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3">'[12]2+'!$GK:$GL</definedName>
    <definedName name="ж49" localSheetId="10">'[4]2+'!$GK:$GL</definedName>
    <definedName name="ж49" localSheetId="12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3">'[12]2+'!$Q:$R</definedName>
    <definedName name="ж5" localSheetId="10">'[4]2+'!$Q:$R</definedName>
    <definedName name="ж5" localSheetId="12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3">'[12]2+'!$GO:$GP</definedName>
    <definedName name="ж50" localSheetId="10">'[4]2+'!$GO:$GP</definedName>
    <definedName name="ж50" localSheetId="12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3">'[12]2+'!$GS:$GT</definedName>
    <definedName name="ж51" localSheetId="10">'[4]2+'!$GS:$GT</definedName>
    <definedName name="ж51" localSheetId="12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3">'[12]2+'!$GW:$GX</definedName>
    <definedName name="ж52" localSheetId="10">'[4]2+'!$GW:$GX</definedName>
    <definedName name="ж52" localSheetId="12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3">'[12]2+'!$HA:$HB</definedName>
    <definedName name="ж53" localSheetId="10">'[4]2+'!$HA:$HB</definedName>
    <definedName name="ж53" localSheetId="12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3">'[12]2+'!$HE:$HF</definedName>
    <definedName name="ж54" localSheetId="10">'[4]2+'!$HE:$HF</definedName>
    <definedName name="ж54" localSheetId="12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3">'[12]2+'!$HI:$HJ</definedName>
    <definedName name="ж55" localSheetId="10">'[4]2+'!$HI:$HJ</definedName>
    <definedName name="ж55" localSheetId="12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3">'[12]2+'!$HM:$HN</definedName>
    <definedName name="ж56" localSheetId="10">'[4]2+'!$HM:$HN</definedName>
    <definedName name="ж56" localSheetId="12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3">'[12]2+'!$HQ:$HR</definedName>
    <definedName name="ж57" localSheetId="10">'[4]2+'!$HQ:$HR</definedName>
    <definedName name="ж57" localSheetId="12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3">'[12]2+'!$HU:$HV</definedName>
    <definedName name="ж58" localSheetId="10">'[4]2+'!$HU:$HV</definedName>
    <definedName name="ж58" localSheetId="12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3">'[12]2+'!$HY:$HZ</definedName>
    <definedName name="ж59" localSheetId="10">'[4]2+'!$HY:$HZ</definedName>
    <definedName name="ж59" localSheetId="12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3">'[12]2+'!$U:$V</definedName>
    <definedName name="ж6" localSheetId="10">'[4]2+'!$U:$V</definedName>
    <definedName name="ж6" localSheetId="12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3">'[12]2+'!$IC:$ID</definedName>
    <definedName name="ж60" localSheetId="10">'[4]2+'!$IC:$ID</definedName>
    <definedName name="ж60" localSheetId="12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3">'[12]2+'!$IG:$IH</definedName>
    <definedName name="ж61" localSheetId="10">'[4]2+'!$IG:$IH</definedName>
    <definedName name="ж61" localSheetId="12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3">'[12]2+'!$IK:$IL</definedName>
    <definedName name="ж62" localSheetId="10">'[4]2+'!$IK:$IL</definedName>
    <definedName name="ж62" localSheetId="12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3">'[12]2+'!$IO:$IP</definedName>
    <definedName name="ж63" localSheetId="10">'[4]2+'!$IO:$IP</definedName>
    <definedName name="ж63" localSheetId="12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3">'[12]2+'!$IS:$IT</definedName>
    <definedName name="ж64" localSheetId="10">'[4]2+'!$IS:$IT</definedName>
    <definedName name="ж64" localSheetId="12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3">'[12]2+'!$IW:$IX</definedName>
    <definedName name="ж65" localSheetId="10">'[4]2+'!$IW:$IX</definedName>
    <definedName name="ж65" localSheetId="12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3">'[12]2+'!$JA:$JB</definedName>
    <definedName name="ж66" localSheetId="10">'[4]2+'!$JA:$JB</definedName>
    <definedName name="ж66" localSheetId="12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3">'[12]2+'!$JE:$JF</definedName>
    <definedName name="ж67" localSheetId="10">'[4]2+'!$JE:$JF</definedName>
    <definedName name="ж67" localSheetId="12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3">'[12]2+'!$JI:$JJ</definedName>
    <definedName name="ж68" localSheetId="10">'[4]2+'!$JI:$JJ</definedName>
    <definedName name="ж68" localSheetId="12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3">'[12]2+'!$JM:$JN</definedName>
    <definedName name="ж69" localSheetId="10">'[4]2+'!$JM:$JN</definedName>
    <definedName name="ж69" localSheetId="12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3">'[12]2+'!$Y:$Z</definedName>
    <definedName name="ж7" localSheetId="10">'[4]2+'!$Y:$Z</definedName>
    <definedName name="ж7" localSheetId="12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3">'[12]2+'!$JQ:$JR</definedName>
    <definedName name="ж70" localSheetId="10">'[4]2+'!$JQ:$JR</definedName>
    <definedName name="ж70" localSheetId="12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3">'[12]2+'!$JU:$JV</definedName>
    <definedName name="ж71" localSheetId="10">'[4]2+'!$JU:$JV</definedName>
    <definedName name="ж71" localSheetId="12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3">'[12]2+'!$JY:$JZ</definedName>
    <definedName name="ж72" localSheetId="10">'[4]2+'!$JY:$JZ</definedName>
    <definedName name="ж72" localSheetId="12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3">'[12]2+'!$KC:$KD</definedName>
    <definedName name="ж73" localSheetId="10">'[4]2+'!$KC:$KD</definedName>
    <definedName name="ж73" localSheetId="12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3">'[12]2+'!$KG:$KH</definedName>
    <definedName name="ж74" localSheetId="10">'[4]2+'!$KG:$KH</definedName>
    <definedName name="ж74" localSheetId="12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3">'[12]2+'!$KK:$KL</definedName>
    <definedName name="ж75" localSheetId="10">'[4]2+'!$KK:$KL</definedName>
    <definedName name="ж75" localSheetId="12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3">'[12]2+'!$KO:$KP</definedName>
    <definedName name="ж76" localSheetId="10">'[4]2+'!$KO:$KP</definedName>
    <definedName name="ж76" localSheetId="12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3">'[12]2+'!$KS:$KT</definedName>
    <definedName name="ж77" localSheetId="10">'[4]2+'!$KS:$KT</definedName>
    <definedName name="ж77" localSheetId="12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3">'[12]2+'!$KW:$KX</definedName>
    <definedName name="ж78" localSheetId="10">'[4]2+'!$KW:$KX</definedName>
    <definedName name="ж78" localSheetId="12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3">'[12]2+'!$LA:$LB</definedName>
    <definedName name="ж79" localSheetId="10">'[4]2+'!$LA:$LB</definedName>
    <definedName name="ж79" localSheetId="12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3">'[12]2+'!$AC:$AD</definedName>
    <definedName name="ж8" localSheetId="10">'[4]2+'!$AC:$AD</definedName>
    <definedName name="ж8" localSheetId="12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3">'[12]2+'!$LE:$LF</definedName>
    <definedName name="ж80" localSheetId="10">'[4]2+'!$LE:$LF</definedName>
    <definedName name="ж80" localSheetId="12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3">'[12]2+'!$LI:$LJ</definedName>
    <definedName name="ж81" localSheetId="10">'[4]2+'!$LI:$LJ</definedName>
    <definedName name="ж81" localSheetId="12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3">'[12]2+'!$LM:$LN</definedName>
    <definedName name="ж82" localSheetId="10">'[4]2+'!$LM:$LN</definedName>
    <definedName name="ж82" localSheetId="12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3">'[12]2+'!$LQ:$LR</definedName>
    <definedName name="ж83" localSheetId="10">'[4]2+'!$LQ:$LR</definedName>
    <definedName name="ж83" localSheetId="12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3">'[12]2+'!$LU:$LV</definedName>
    <definedName name="ж84" localSheetId="10">'[4]2+'!$LU:$LV</definedName>
    <definedName name="ж84" localSheetId="12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3">'[12]2+'!$LY:$LZ</definedName>
    <definedName name="ж85" localSheetId="10">'[4]2+'!$LY:$LZ</definedName>
    <definedName name="ж85" localSheetId="12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3">'[12]2+'!$MC:$MD</definedName>
    <definedName name="ж86" localSheetId="10">'[4]2+'!$MC:$MD</definedName>
    <definedName name="ж86" localSheetId="12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3">'[12]2+'!$MG:$MH</definedName>
    <definedName name="ж87" localSheetId="10">'[4]2+'!$MG:$MH</definedName>
    <definedName name="ж87" localSheetId="12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3">'[12]2+'!$MK:$ML</definedName>
    <definedName name="ж88" localSheetId="10">'[4]2+'!$MK:$ML</definedName>
    <definedName name="ж88" localSheetId="12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3">'[12]2+'!$MO:$MP</definedName>
    <definedName name="ж89" localSheetId="10">'[4]2+'!$MO:$MP</definedName>
    <definedName name="ж89" localSheetId="12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3">'[12]2+'!$AG:$AH</definedName>
    <definedName name="ж9" localSheetId="10">'[4]2+'!$AG:$AH</definedName>
    <definedName name="ж9" localSheetId="12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3">'[12]2+'!$MS:$MT</definedName>
    <definedName name="ж90" localSheetId="10">'[4]2+'!$MS:$MT</definedName>
    <definedName name="ж90" localSheetId="12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3">'[12]2+'!$MW:$MX</definedName>
    <definedName name="ж91" localSheetId="10">'[4]2+'!$MW:$MX</definedName>
    <definedName name="ж91" localSheetId="12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3">'[12]2+'!$NA:$NB</definedName>
    <definedName name="ж92" localSheetId="10">'[4]2+'!$NA:$NB</definedName>
    <definedName name="ж92" localSheetId="12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3">'[12]2+'!$NE:$NF</definedName>
    <definedName name="ж93" localSheetId="10">'[4]2+'!$NE:$NF</definedName>
    <definedName name="ж93" localSheetId="12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3">'[12]2+'!$NI:$NJ</definedName>
    <definedName name="ж94" localSheetId="10">'[4]2+'!$NI:$NJ</definedName>
    <definedName name="ж94" localSheetId="12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3">'[12]2+'!$NM:$NN</definedName>
    <definedName name="ж95" localSheetId="10">'[4]2+'!$NM:$NN</definedName>
    <definedName name="ж95" localSheetId="12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3">'[12]2+'!$NQ:$NR</definedName>
    <definedName name="ж96" localSheetId="10">'[4]2+'!$NQ:$NR</definedName>
    <definedName name="ж96" localSheetId="12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3">'[12]2+'!$NU:$NV</definedName>
    <definedName name="ж97" localSheetId="10">'[4]2+'!$NU:$NV</definedName>
    <definedName name="ж97" localSheetId="12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3">'[12]2+'!$NY:$NZ</definedName>
    <definedName name="ж98" localSheetId="10">'[4]2+'!$NY:$NZ</definedName>
    <definedName name="ж98" localSheetId="12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3">'[12]2+'!$OC:$OD</definedName>
    <definedName name="ж99" localSheetId="10">'[4]2+'!$OC:$OD</definedName>
    <definedName name="ж99" localSheetId="12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3">#REF!</definedName>
    <definedName name="Жен.конс." localSheetId="10">#REF!</definedName>
    <definedName name="Жен.конс." localSheetId="12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3">'[12]0-2'!$D:$E</definedName>
    <definedName name="жж0" localSheetId="10">'[4]0-2'!$D:$E</definedName>
    <definedName name="жж0" localSheetId="12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3">'[12]0-2'!$H:$I</definedName>
    <definedName name="жж1" localSheetId="10">'[4]0-2'!$H:$I</definedName>
    <definedName name="жж1" localSheetId="12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3">'[12]0-2'!$AR:$AS</definedName>
    <definedName name="жж10" localSheetId="10">'[4]0-2'!$AR:$AS</definedName>
    <definedName name="жж10" localSheetId="12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3">'[12]0-2'!$AV:$AW</definedName>
    <definedName name="жж11" localSheetId="10">'[4]0-2'!$AV:$AW</definedName>
    <definedName name="жж11" localSheetId="12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3">'[12]0-2'!$AZ:$BA</definedName>
    <definedName name="жж12" localSheetId="10">'[4]0-2'!$AZ:$BA</definedName>
    <definedName name="жж12" localSheetId="12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3">'[12]0-2'!$BD:$BE</definedName>
    <definedName name="жж13" localSheetId="10">'[4]0-2'!$BD:$BE</definedName>
    <definedName name="жж13" localSheetId="12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3">'[12]0-2'!$BH:$BI</definedName>
    <definedName name="жж14" localSheetId="10">'[4]0-2'!$BH:$BI</definedName>
    <definedName name="жж14" localSheetId="12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3">'[12]0-2'!$BL:$BM</definedName>
    <definedName name="жж15" localSheetId="10">'[4]0-2'!$BL:$BM</definedName>
    <definedName name="жж15" localSheetId="12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3">'[12]0-2'!$BP:$BQ</definedName>
    <definedName name="жж16" localSheetId="10">'[4]0-2'!$BP:$BQ</definedName>
    <definedName name="жж16" localSheetId="12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3">'[12]0-2'!$BT:$BU</definedName>
    <definedName name="жж17" localSheetId="10">'[4]0-2'!$BT:$BU</definedName>
    <definedName name="жж17" localSheetId="12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3">'[12]0-2'!$BX:$BY</definedName>
    <definedName name="жж18" localSheetId="10">'[4]0-2'!$BX:$BY</definedName>
    <definedName name="жж18" localSheetId="12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3">'[12]0-2'!$CB:$CC</definedName>
    <definedName name="жж19" localSheetId="10">'[4]0-2'!$CB:$CC</definedName>
    <definedName name="жж19" localSheetId="12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3">'[12]0-2'!$L:$M</definedName>
    <definedName name="жж2" localSheetId="10">'[4]0-2'!$L:$M</definedName>
    <definedName name="жж2" localSheetId="12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3">'[12]0-2'!$CF:$CG</definedName>
    <definedName name="жж20" localSheetId="10">'[4]0-2'!$CF:$CG</definedName>
    <definedName name="жж20" localSheetId="12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3">'[12]0-2'!$CJ:$CK</definedName>
    <definedName name="жж21" localSheetId="10">'[4]0-2'!$CJ:$CK</definedName>
    <definedName name="жж21" localSheetId="12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3">'[12]0-2'!$CN:$CO</definedName>
    <definedName name="жж22" localSheetId="10">'[4]0-2'!$CN:$CO</definedName>
    <definedName name="жж22" localSheetId="12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3">'[12]0-2'!$CR:$CS</definedName>
    <definedName name="жж23" localSheetId="10">'[4]0-2'!$CR:$CS</definedName>
    <definedName name="жж23" localSheetId="12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3">'[12]0-2'!$P:$Q</definedName>
    <definedName name="жж3" localSheetId="10">'[4]0-2'!$P:$Q</definedName>
    <definedName name="жж3" localSheetId="12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3">'[12]0-2'!$T:$U</definedName>
    <definedName name="жж4" localSheetId="10">'[4]0-2'!$T:$U</definedName>
    <definedName name="жж4" localSheetId="12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3">'[12]0-2'!$X:$Y</definedName>
    <definedName name="жж5" localSheetId="10">'[4]0-2'!$X:$Y</definedName>
    <definedName name="жж5" localSheetId="12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3">'[12]0-2'!$AB:$AC</definedName>
    <definedName name="жж6" localSheetId="10">'[4]0-2'!$AB:$AC</definedName>
    <definedName name="жж6" localSheetId="12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3">'[12]0-2'!$AF:$AG</definedName>
    <definedName name="жж7" localSheetId="10">'[4]0-2'!$AF:$AG</definedName>
    <definedName name="жж7" localSheetId="12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3">'[12]0-2'!$AJ:$AK</definedName>
    <definedName name="жж8" localSheetId="10">'[4]0-2'!$AJ:$AK</definedName>
    <definedName name="жж8" localSheetId="12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3">'[12]0-2'!$AN:$AO</definedName>
    <definedName name="жж9" localSheetId="10">'[4]0-2'!$AN:$AO</definedName>
    <definedName name="жж9" localSheetId="12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 (9-26)'!$4:$5</definedName>
    <definedName name="_xlnm.Print_Titles" localSheetId="1">'ВМП КС (Пр.9-26)'!$B:$B,'ВМП КС (Пр.9-26)'!$3:$4</definedName>
    <definedName name="_xlnm.Print_Titles" localSheetId="16">'Дистанц. набл.(3-26)'!$7:$7</definedName>
    <definedName name="_xlnm.Print_Titles" localSheetId="3">'ДС (9-26)'!#REF!</definedName>
    <definedName name="_xlnm.Print_Titles" localSheetId="17">'КТ, МРТ, КТПЭТ, ОФЭКТ(9-26)'!$4:$7</definedName>
    <definedName name="_xlnm.Print_Titles" localSheetId="20">'НИПТ, РНК геп С, Лаб.геп (8-26)'!$5:$7</definedName>
    <definedName name="_xlnm.Print_Titles" localSheetId="5">'Обращения 8-26'!$4:$7</definedName>
    <definedName name="_xlnm.Print_Titles" localSheetId="0">'Объемы КС (Пр.9-26)'!$6:$8</definedName>
    <definedName name="_xlnm.Print_Titles" localSheetId="13">'Пос с др.целями(Пр.9-26)  '!$2:$6</definedName>
    <definedName name="_xlnm.Print_Titles" localSheetId="10">'Пос. по дисп.набл. (Пр.8-26) '!$2:$8</definedName>
    <definedName name="_xlnm.Print_Titles" localSheetId="12">'Пос. ср.мед.пер. (Пр.9-26)  '!$2:$6</definedName>
    <definedName name="_xlnm.Print_Titles" localSheetId="7">'Проф.Свод (Пр.9-26)   '!$2:$8</definedName>
    <definedName name="_xlnm.Print_Titles" localSheetId="11">'Раз.пос.(Пр.9-26) '!$2:$7</definedName>
    <definedName name="_xlnm.Print_Titles" localSheetId="4">'СМП (9-26)'!$4:$7</definedName>
    <definedName name="_xlnm.Print_Titles" localSheetId="8">'Углуб.дисп.1 и 2 эт.(Пр.1-26)'!$2:$6</definedName>
    <definedName name="_xlnm.Print_Titles" localSheetId="18">'УЗИ ССС(8-26)'!$4:$7</definedName>
    <definedName name="_xlnm.Print_Titles" localSheetId="14">'Центры здор.взросл Пр.9-26 '!$3:$9</definedName>
    <definedName name="_xlnm.Print_Titles" localSheetId="21">'ШХНИЗ, ШСД, ШБ (9-26)'!$5:$7</definedName>
    <definedName name="_xlnm.Print_Titles" localSheetId="19">'ЭИ, ПАИ, МГИ(9-26)'!$4:$8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3">[6]Данные!$BY$3:$DB$3</definedName>
    <definedName name="ЗД" localSheetId="10">[5]Данные!$BY$3:$DB$3</definedName>
    <definedName name="ЗД" localSheetId="12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3">#REF!</definedName>
    <definedName name="иные" localSheetId="10">#REF!</definedName>
    <definedName name="иные" localSheetId="12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3">'[10]0-2'!$B:$C</definedName>
    <definedName name="м0" localSheetId="10">'[11]0-2'!$B:$C</definedName>
    <definedName name="м0" localSheetId="12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3">'[10]0-2'!$G:$H</definedName>
    <definedName name="м1" localSheetId="10">'[11]0-2'!$G:$H</definedName>
    <definedName name="м1" localSheetId="12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3">'[12]2+'!$AI:$AJ</definedName>
    <definedName name="м10" localSheetId="10">'[4]2+'!$AI:$AJ</definedName>
    <definedName name="м10" localSheetId="12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3">'[12]2+'!$OE:$OF</definedName>
    <definedName name="м100" localSheetId="10">'[4]2+'!$OE:$OF</definedName>
    <definedName name="м100" localSheetId="12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3">'[12]2+'!$OI:$OJ</definedName>
    <definedName name="м101" localSheetId="10">'[4]2+'!$OI:$OJ</definedName>
    <definedName name="м101" localSheetId="12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3">'[12]2+'!$OM:$ON</definedName>
    <definedName name="м102" localSheetId="10">'[4]2+'!$OM:$ON</definedName>
    <definedName name="м102" localSheetId="12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3">'[12]2+'!$OQ:$OR</definedName>
    <definedName name="м103" localSheetId="10">'[4]2+'!$OQ:$OR</definedName>
    <definedName name="м103" localSheetId="12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3">'[12]2+'!$OU:$OV</definedName>
    <definedName name="м104" localSheetId="10">'[4]2+'!$OU:$OV</definedName>
    <definedName name="м104" localSheetId="12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3">'[12]2+'!$OY:$OZ</definedName>
    <definedName name="м105" localSheetId="10">'[4]2+'!$OY:$OZ</definedName>
    <definedName name="м105" localSheetId="12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3">'[12]2+'!$PC:$PD</definedName>
    <definedName name="м106" localSheetId="10">'[4]2+'!$PC:$PD</definedName>
    <definedName name="м106" localSheetId="12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3">'[12]2+'!$PG:$PH</definedName>
    <definedName name="м107" localSheetId="10">'[4]2+'!$PG:$PH</definedName>
    <definedName name="м107" localSheetId="12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3">'[12]2+'!$PK:$PL</definedName>
    <definedName name="м108" localSheetId="10">'[4]2+'!$PK:$PL</definedName>
    <definedName name="м108" localSheetId="12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3">'[12]2+'!$PO:$PP</definedName>
    <definedName name="м109" localSheetId="10">'[4]2+'!$PO:$PP</definedName>
    <definedName name="м109" localSheetId="12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3">'[12]2+'!$AM:$AN</definedName>
    <definedName name="м11" localSheetId="10">'[4]2+'!$AM:$AN</definedName>
    <definedName name="м11" localSheetId="12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3">'[12]2+'!$PS:$PT</definedName>
    <definedName name="м110" localSheetId="10">'[4]2+'!$PS:$PT</definedName>
    <definedName name="м110" localSheetId="12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3">'[12]2+'!$PW:$PX</definedName>
    <definedName name="м111" localSheetId="10">'[4]2+'!$PW:$PX</definedName>
    <definedName name="м111" localSheetId="12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3">'[12]2+'!$QA:$QB</definedName>
    <definedName name="м112" localSheetId="10">'[4]2+'!$QA:$QB</definedName>
    <definedName name="м112" localSheetId="12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3">#REF!</definedName>
    <definedName name="м113" localSheetId="10">#REF!</definedName>
    <definedName name="м113" localSheetId="12">#REF!</definedName>
    <definedName name="м113" localSheetId="7">#REF!</definedName>
    <definedName name="м113" localSheetId="11">#REF!</definedName>
    <definedName name="м113" localSheetId="4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3">'[12]2+'!$AQ:$AR</definedName>
    <definedName name="м12" localSheetId="10">'[4]2+'!$AQ:$AR</definedName>
    <definedName name="м12" localSheetId="12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3">'[12]2+'!$AU:$AV</definedName>
    <definedName name="м13" localSheetId="10">'[4]2+'!$AU:$AV</definedName>
    <definedName name="м13" localSheetId="12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3">'[12]2+'!$AY:$AZ</definedName>
    <definedName name="м14" localSheetId="10">'[4]2+'!$AY:$AZ</definedName>
    <definedName name="м14" localSheetId="12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3">'[12]2+'!$BC:$BD</definedName>
    <definedName name="м15" localSheetId="10">'[4]2+'!$BC:$BD</definedName>
    <definedName name="м15" localSheetId="12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3">'[12]2+'!$BG:$BH</definedName>
    <definedName name="м16" localSheetId="10">'[4]2+'!$BG:$BH</definedName>
    <definedName name="м16" localSheetId="12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3">'[12]2+'!$BK:$BL</definedName>
    <definedName name="м17" localSheetId="10">'[4]2+'!$BK:$BL</definedName>
    <definedName name="м17" localSheetId="12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3">'[12]2+'!$BO:$BP</definedName>
    <definedName name="м18" localSheetId="10">'[4]2+'!$BO:$BP</definedName>
    <definedName name="м18" localSheetId="12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3">'[12]2+'!$BS:$BT</definedName>
    <definedName name="м19" localSheetId="10">'[4]2+'!$BS:$BT</definedName>
    <definedName name="м19" localSheetId="12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3">'[12]2+'!$C:$D</definedName>
    <definedName name="м2" localSheetId="10">'[4]2+'!$C:$D</definedName>
    <definedName name="м2" localSheetId="12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3">'[12]2+'!$BW:$BX</definedName>
    <definedName name="м20" localSheetId="10">'[4]2+'!$BW:$BX</definedName>
    <definedName name="м20" localSheetId="12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3">'[12]2+'!$CA:$CB</definedName>
    <definedName name="м21" localSheetId="10">'[4]2+'!$CA:$CB</definedName>
    <definedName name="м21" localSheetId="12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3">'[12]2+'!$CE:$CF</definedName>
    <definedName name="м22" localSheetId="10">'[4]2+'!$CE:$CF</definedName>
    <definedName name="м22" localSheetId="12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3">'[12]2+'!$CI:$CJ</definedName>
    <definedName name="м23" localSheetId="10">'[4]2+'!$CI:$CJ</definedName>
    <definedName name="м23" localSheetId="12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3">'[12]2+'!$CM:$CN</definedName>
    <definedName name="м24" localSheetId="10">'[4]2+'!$CM:$CN</definedName>
    <definedName name="м24" localSheetId="12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3">'[12]2+'!$CQ:$CR</definedName>
    <definedName name="м25" localSheetId="10">'[4]2+'!$CQ:$CR</definedName>
    <definedName name="м25" localSheetId="12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3">'[12]2+'!$CU:$CV</definedName>
    <definedName name="м26" localSheetId="10">'[4]2+'!$CU:$CV</definedName>
    <definedName name="м26" localSheetId="12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3">'[12]2+'!$CY:$CZ</definedName>
    <definedName name="м27" localSheetId="10">'[4]2+'!$CY:$CZ</definedName>
    <definedName name="м27" localSheetId="12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3">'[12]2+'!$DC:$DD</definedName>
    <definedName name="м28" localSheetId="10">'[4]2+'!$DC:$DD</definedName>
    <definedName name="м28" localSheetId="12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3">'[12]2+'!$DG:$DH</definedName>
    <definedName name="м29" localSheetId="10">'[4]2+'!$DG:$DH</definedName>
    <definedName name="м29" localSheetId="12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3">'[12]2+'!$G:$H</definedName>
    <definedName name="м3" localSheetId="10">'[4]2+'!$G:$H</definedName>
    <definedName name="м3" localSheetId="12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3">'[12]2+'!$DK:$DL</definedName>
    <definedName name="м30" localSheetId="10">'[4]2+'!$DK:$DL</definedName>
    <definedName name="м30" localSheetId="12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3">'[12]2+'!$DO:$DP</definedName>
    <definedName name="м31" localSheetId="10">'[4]2+'!$DO:$DP</definedName>
    <definedName name="м31" localSheetId="12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3">'[12]2+'!$DS:$DT</definedName>
    <definedName name="м32" localSheetId="10">'[4]2+'!$DS:$DT</definedName>
    <definedName name="м32" localSheetId="12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3">'[12]2+'!$DW:$DX</definedName>
    <definedName name="м33" localSheetId="10">'[4]2+'!$DW:$DX</definedName>
    <definedName name="м33" localSheetId="12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3">'[12]2+'!$EA:$EB</definedName>
    <definedName name="м34" localSheetId="10">'[4]2+'!$EA:$EB</definedName>
    <definedName name="м34" localSheetId="12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3">'[12]2+'!$EE:$EF</definedName>
    <definedName name="м35" localSheetId="10">'[4]2+'!$EE:$EF</definedName>
    <definedName name="м35" localSheetId="12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3">'[12]2+'!$EI:$EJ</definedName>
    <definedName name="м36" localSheetId="10">'[4]2+'!$EI:$EJ</definedName>
    <definedName name="м36" localSheetId="12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3">'[12]2+'!$EM:$EN</definedName>
    <definedName name="м37" localSheetId="10">'[4]2+'!$EM:$EN</definedName>
    <definedName name="м37" localSheetId="12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3">'[12]2+'!$EQ:$ER</definedName>
    <definedName name="м38" localSheetId="10">'[4]2+'!$EQ:$ER</definedName>
    <definedName name="м38" localSheetId="12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3">'[12]2+'!$EU:$EV</definedName>
    <definedName name="м39" localSheetId="10">'[4]2+'!$EU:$EV</definedName>
    <definedName name="м39" localSheetId="12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3">'[12]2+'!$K:$L</definedName>
    <definedName name="м4" localSheetId="10">'[4]2+'!$K:$L</definedName>
    <definedName name="м4" localSheetId="12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3">'[12]2+'!$EY:$EZ</definedName>
    <definedName name="м40" localSheetId="10">'[4]2+'!$EY:$EZ</definedName>
    <definedName name="м40" localSheetId="12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3">'[12]2+'!$FC:$FD</definedName>
    <definedName name="м41" localSheetId="10">'[4]2+'!$FC:$FD</definedName>
    <definedName name="м41" localSheetId="12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3">'[12]2+'!$FG:$FH</definedName>
    <definedName name="м42" localSheetId="10">'[4]2+'!$FG:$FH</definedName>
    <definedName name="м42" localSheetId="12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3">'[12]2+'!$FK:$FL</definedName>
    <definedName name="м43" localSheetId="10">'[4]2+'!$FK:$FL</definedName>
    <definedName name="м43" localSheetId="12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3">'[12]2+'!$FO:$FP</definedName>
    <definedName name="м44" localSheetId="10">'[4]2+'!$FO:$FP</definedName>
    <definedName name="м44" localSheetId="12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3">'[12]2+'!$FS:$FT</definedName>
    <definedName name="м45" localSheetId="10">'[4]2+'!$FS:$FT</definedName>
    <definedName name="м45" localSheetId="12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3">'[12]2+'!$FW:$FX</definedName>
    <definedName name="м46" localSheetId="10">'[4]2+'!$FW:$FX</definedName>
    <definedName name="м46" localSheetId="12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3">'[12]2+'!$GA:$GB</definedName>
    <definedName name="м47" localSheetId="10">'[4]2+'!$GA:$GB</definedName>
    <definedName name="м47" localSheetId="12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3">'[12]2+'!$GE:$GF</definedName>
    <definedName name="м48" localSheetId="10">'[4]2+'!$GE:$GF</definedName>
    <definedName name="м48" localSheetId="12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3">'[12]2+'!$GI:$GJ</definedName>
    <definedName name="м49" localSheetId="10">'[4]2+'!$GI:$GJ</definedName>
    <definedName name="м49" localSheetId="12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3">'[12]2+'!$O:$P</definedName>
    <definedName name="м5" localSheetId="10">'[4]2+'!$O:$P</definedName>
    <definedName name="м5" localSheetId="12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3">'[12]2+'!$GM:$GN</definedName>
    <definedName name="м50" localSheetId="10">'[4]2+'!$GM:$GN</definedName>
    <definedName name="м50" localSheetId="12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3">'[12]2+'!$GQ:$GR</definedName>
    <definedName name="м51" localSheetId="10">'[4]2+'!$GQ:$GR</definedName>
    <definedName name="м51" localSheetId="12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3">'[12]2+'!$GU:$GV</definedName>
    <definedName name="м52" localSheetId="10">'[4]2+'!$GU:$GV</definedName>
    <definedName name="м52" localSheetId="12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3">'[12]2+'!$GY:$GZ</definedName>
    <definedName name="м53" localSheetId="10">'[4]2+'!$GY:$GZ</definedName>
    <definedName name="м53" localSheetId="12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3">'[12]2+'!$HC:$HD</definedName>
    <definedName name="м54" localSheetId="10">'[4]2+'!$HC:$HD</definedName>
    <definedName name="м54" localSheetId="12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3">'[12]2+'!$HG:$HH</definedName>
    <definedName name="м55" localSheetId="10">'[4]2+'!$HG:$HH</definedName>
    <definedName name="м55" localSheetId="12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3">'[12]2+'!$HK:$HL</definedName>
    <definedName name="м56" localSheetId="10">'[4]2+'!$HK:$HL</definedName>
    <definedName name="м56" localSheetId="12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3">'[12]2+'!$HO:$HP</definedName>
    <definedName name="м57" localSheetId="10">'[4]2+'!$HO:$HP</definedName>
    <definedName name="м57" localSheetId="12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3">'[12]2+'!$HS:$HT</definedName>
    <definedName name="м58" localSheetId="10">'[4]2+'!$HS:$HT</definedName>
    <definedName name="м58" localSheetId="12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3">'[12]2+'!$HW:$HX</definedName>
    <definedName name="м59" localSheetId="10">'[4]2+'!$HW:$HX</definedName>
    <definedName name="м59" localSheetId="12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3">'[12]2+'!$S:$T</definedName>
    <definedName name="м6" localSheetId="10">'[4]2+'!$S:$T</definedName>
    <definedName name="м6" localSheetId="12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3">'[12]2+'!$IA:$IB</definedName>
    <definedName name="м60" localSheetId="10">'[4]2+'!$IA:$IB</definedName>
    <definedName name="м60" localSheetId="12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3">'[12]2+'!$IE:$IF</definedName>
    <definedName name="м61" localSheetId="10">'[4]2+'!$IE:$IF</definedName>
    <definedName name="м61" localSheetId="12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3">'[12]2+'!$II:$IJ</definedName>
    <definedName name="м62" localSheetId="10">'[4]2+'!$II:$IJ</definedName>
    <definedName name="м62" localSheetId="12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3">'[12]2+'!$IM:$IN</definedName>
    <definedName name="м63" localSheetId="10">'[4]2+'!$IM:$IN</definedName>
    <definedName name="м63" localSheetId="12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3">'[12]2+'!$IQ:$IR</definedName>
    <definedName name="м64" localSheetId="10">'[4]2+'!$IQ:$IR</definedName>
    <definedName name="м64" localSheetId="12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3">'[12]2+'!$IU:$IV</definedName>
    <definedName name="м65" localSheetId="10">'[4]2+'!$IU:$IV</definedName>
    <definedName name="м65" localSheetId="12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3">'[12]2+'!$IY:$IZ</definedName>
    <definedName name="м66" localSheetId="10">'[4]2+'!$IY:$IZ</definedName>
    <definedName name="м66" localSheetId="12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3">'[12]2+'!$JC:$JD</definedName>
    <definedName name="м67" localSheetId="10">'[4]2+'!$JC:$JD</definedName>
    <definedName name="м67" localSheetId="12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3">'[12]2+'!$JG:$JH</definedName>
    <definedName name="м68" localSheetId="10">'[4]2+'!$JG:$JH</definedName>
    <definedName name="м68" localSheetId="12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3">'[12]2+'!$JK:$JL</definedName>
    <definedName name="м69" localSheetId="10">'[4]2+'!$JK:$JL</definedName>
    <definedName name="м69" localSheetId="12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3">'[12]2+'!$W:$X</definedName>
    <definedName name="м7" localSheetId="10">'[4]2+'!$W:$X</definedName>
    <definedName name="м7" localSheetId="12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3">'[12]2+'!$JO:$JP</definedName>
    <definedName name="м70" localSheetId="10">'[4]2+'!$JO:$JP</definedName>
    <definedName name="м70" localSheetId="12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3">'[12]2+'!$JS:$JT</definedName>
    <definedName name="м71" localSheetId="10">'[4]2+'!$JS:$JT</definedName>
    <definedName name="м71" localSheetId="12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3">'[12]2+'!$JW:$JX</definedName>
    <definedName name="м72" localSheetId="10">'[4]2+'!$JW:$JX</definedName>
    <definedName name="м72" localSheetId="12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3">'[12]2+'!$KA:$KB</definedName>
    <definedName name="м73" localSheetId="10">'[4]2+'!$KA:$KB</definedName>
    <definedName name="м73" localSheetId="12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3">'[12]2+'!$KE:$KF</definedName>
    <definedName name="м74" localSheetId="10">'[4]2+'!$KE:$KF</definedName>
    <definedName name="м74" localSheetId="12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3">'[12]2+'!$KI:$KJ</definedName>
    <definedName name="м75" localSheetId="10">'[4]2+'!$KI:$KJ</definedName>
    <definedName name="м75" localSheetId="12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3">'[12]2+'!$KM:$KN</definedName>
    <definedName name="м76" localSheetId="10">'[4]2+'!$KM:$KN</definedName>
    <definedName name="м76" localSheetId="12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3">'[12]2+'!$KQ:$KR</definedName>
    <definedName name="м77" localSheetId="10">'[4]2+'!$KQ:$KR</definedName>
    <definedName name="м77" localSheetId="12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3">'[12]2+'!$KU:$KV</definedName>
    <definedName name="м78" localSheetId="10">'[4]2+'!$KU:$KV</definedName>
    <definedName name="м78" localSheetId="12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3">'[12]2+'!$KY:$KZ</definedName>
    <definedName name="м79" localSheetId="10">'[4]2+'!$KY:$KZ</definedName>
    <definedName name="м79" localSheetId="12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3">'[12]2+'!$AA:$AB</definedName>
    <definedName name="м8" localSheetId="10">'[4]2+'!$AA:$AB</definedName>
    <definedName name="м8" localSheetId="12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3">'[12]2+'!$LC:$LD</definedName>
    <definedName name="м80" localSheetId="10">'[4]2+'!$LC:$LD</definedName>
    <definedName name="м80" localSheetId="12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3">'[12]2+'!$LG:$LH</definedName>
    <definedName name="м81" localSheetId="10">'[4]2+'!$LG:$LH</definedName>
    <definedName name="м81" localSheetId="12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3">'[12]2+'!$LK:$LL</definedName>
    <definedName name="м82" localSheetId="10">'[4]2+'!$LK:$LL</definedName>
    <definedName name="м82" localSheetId="12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3">'[12]2+'!$LO:$LP</definedName>
    <definedName name="м83" localSheetId="10">'[4]2+'!$LO:$LP</definedName>
    <definedName name="м83" localSheetId="12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3">'[12]2+'!$LS:$LT</definedName>
    <definedName name="м84" localSheetId="10">'[4]2+'!$LS:$LT</definedName>
    <definedName name="м84" localSheetId="12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3">'[12]2+'!$LW:$LX</definedName>
    <definedName name="м85" localSheetId="10">'[4]2+'!$LW:$LX</definedName>
    <definedName name="м85" localSheetId="12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3">'[12]2+'!$MA:$MB</definedName>
    <definedName name="м86" localSheetId="10">'[4]2+'!$MA:$MB</definedName>
    <definedName name="м86" localSheetId="12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3">'[12]2+'!$ME:$MF</definedName>
    <definedName name="м87" localSheetId="10">'[4]2+'!$ME:$MF</definedName>
    <definedName name="м87" localSheetId="12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3">'[12]2+'!$MI:$MJ</definedName>
    <definedName name="м88" localSheetId="10">'[4]2+'!$MI:$MJ</definedName>
    <definedName name="м88" localSheetId="12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3">'[12]2+'!$MM:$MN</definedName>
    <definedName name="м89" localSheetId="10">'[4]2+'!$MM:$MN</definedName>
    <definedName name="м89" localSheetId="12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3">'[12]2+'!$AE:$AF</definedName>
    <definedName name="м9" localSheetId="10">'[4]2+'!$AE:$AF</definedName>
    <definedName name="м9" localSheetId="12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3">'[12]2+'!$MQ:$MR</definedName>
    <definedName name="м90" localSheetId="10">'[4]2+'!$MQ:$MR</definedName>
    <definedName name="м90" localSheetId="12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3">'[12]2+'!$MU:$MV</definedName>
    <definedName name="м91" localSheetId="10">'[4]2+'!$MU:$MV</definedName>
    <definedName name="м91" localSheetId="12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3">'[12]2+'!$MY:$MZ</definedName>
    <definedName name="м92" localSheetId="10">'[4]2+'!$MY:$MZ</definedName>
    <definedName name="м92" localSheetId="12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3">'[12]2+'!$NC:$ND</definedName>
    <definedName name="м93" localSheetId="10">'[4]2+'!$NC:$ND</definedName>
    <definedName name="м93" localSheetId="12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3">'[12]2+'!$NG:$NH</definedName>
    <definedName name="м94" localSheetId="10">'[4]2+'!$NG:$NH</definedName>
    <definedName name="м94" localSheetId="12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3">'[12]2+'!$NK:$NL</definedName>
    <definedName name="м95" localSheetId="10">'[4]2+'!$NK:$NL</definedName>
    <definedName name="м95" localSheetId="12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3">'[12]2+'!$NO:$NP</definedName>
    <definedName name="м96" localSheetId="10">'[4]2+'!$NO:$NP</definedName>
    <definedName name="м96" localSheetId="12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3">'[12]2+'!$NS:$NT</definedName>
    <definedName name="м97" localSheetId="10">'[4]2+'!$NS:$NT</definedName>
    <definedName name="м97" localSheetId="12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3">'[12]2+'!$NW:$NX</definedName>
    <definedName name="м98" localSheetId="10">'[4]2+'!$NW:$NX</definedName>
    <definedName name="м98" localSheetId="12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3">'[12]2+'!$OA:$OB</definedName>
    <definedName name="м99" localSheetId="10">'[4]2+'!$OA:$OB</definedName>
    <definedName name="м99" localSheetId="12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3">#REF!</definedName>
    <definedName name="материальные_запасы_основные_средства" localSheetId="10">#REF!</definedName>
    <definedName name="материальные_запасы_основные_средства" localSheetId="12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3">#REF!</definedName>
    <definedName name="мирир" localSheetId="10">#REF!</definedName>
    <definedName name="мирир" localSheetId="12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3">'[12]0-2'!$B:$C</definedName>
    <definedName name="мм0" localSheetId="10">'[4]0-2'!$B:$C</definedName>
    <definedName name="мм0" localSheetId="12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3">'[12]0-2'!$F:$G</definedName>
    <definedName name="мм1" localSheetId="10">'[4]0-2'!$F:$G</definedName>
    <definedName name="мм1" localSheetId="12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3">'[12]0-2'!$AP:$AQ</definedName>
    <definedName name="мм10" localSheetId="10">'[4]0-2'!$AP:$AQ</definedName>
    <definedName name="мм10" localSheetId="12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3">'[12]0-2'!$AT:$AU</definedName>
    <definedName name="мм11" localSheetId="10">'[4]0-2'!$AT:$AU</definedName>
    <definedName name="мм11" localSheetId="12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3">'[12]0-2'!$AX:$AY</definedName>
    <definedName name="мм12" localSheetId="10">'[4]0-2'!$AX:$AY</definedName>
    <definedName name="мм12" localSheetId="12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3">'[12]0-2'!$BB:$BC</definedName>
    <definedName name="мм13" localSheetId="10">'[4]0-2'!$BB:$BC</definedName>
    <definedName name="мм13" localSheetId="12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3">'[12]0-2'!$BF:$BG</definedName>
    <definedName name="мм14" localSheetId="10">'[4]0-2'!$BF:$BG</definedName>
    <definedName name="мм14" localSheetId="12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3">'[12]0-2'!$BJ:$BK</definedName>
    <definedName name="мм15" localSheetId="10">'[4]0-2'!$BJ:$BK</definedName>
    <definedName name="мм15" localSheetId="12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3">'[12]0-2'!$BN:$BO</definedName>
    <definedName name="мм16" localSheetId="10">'[4]0-2'!$BN:$BO</definedName>
    <definedName name="мм16" localSheetId="12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3">'[12]0-2'!$BR:$BS</definedName>
    <definedName name="мм17" localSheetId="10">'[4]0-2'!$BR:$BS</definedName>
    <definedName name="мм17" localSheetId="12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3">'[12]0-2'!$BV:$BW</definedName>
    <definedName name="мм18" localSheetId="10">'[4]0-2'!$BV:$BW</definedName>
    <definedName name="мм18" localSheetId="12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3">'[12]0-2'!$BZ:$CA</definedName>
    <definedName name="мм19" localSheetId="10">'[4]0-2'!$BZ:$CA</definedName>
    <definedName name="мм19" localSheetId="12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3">'[12]0-2'!$J:$K</definedName>
    <definedName name="мм2" localSheetId="10">'[4]0-2'!$J:$K</definedName>
    <definedName name="мм2" localSheetId="12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3">'[12]0-2'!$CD:$CE</definedName>
    <definedName name="мм20" localSheetId="10">'[4]0-2'!$CD:$CE</definedName>
    <definedName name="мм20" localSheetId="12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3">'[12]0-2'!$CH:$CI</definedName>
    <definedName name="мм21" localSheetId="10">'[4]0-2'!$CH:$CI</definedName>
    <definedName name="мм21" localSheetId="12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3">'[12]0-2'!$CL:$CM</definedName>
    <definedName name="мм22" localSheetId="10">'[4]0-2'!$CL:$CM</definedName>
    <definedName name="мм22" localSheetId="12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3">'[12]0-2'!$CP:$CQ</definedName>
    <definedName name="мм23" localSheetId="10">'[4]0-2'!$CP:$CQ</definedName>
    <definedName name="мм23" localSheetId="12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3">'[12]0-2'!$N:$O</definedName>
    <definedName name="мм3" localSheetId="10">'[4]0-2'!$N:$O</definedName>
    <definedName name="мм3" localSheetId="12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3">'[12]0-2'!$R:$S</definedName>
    <definedName name="мм4" localSheetId="10">'[4]0-2'!$R:$S</definedName>
    <definedName name="мм4" localSheetId="12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3">'[12]0-2'!$V:$W</definedName>
    <definedName name="мм5" localSheetId="10">'[4]0-2'!$V:$W</definedName>
    <definedName name="мм5" localSheetId="12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3">'[12]0-2'!$Z:$AA</definedName>
    <definedName name="мм6" localSheetId="10">'[4]0-2'!$Z:$AA</definedName>
    <definedName name="мм6" localSheetId="12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3">'[12]0-2'!$AD:$AE</definedName>
    <definedName name="мм7" localSheetId="10">'[4]0-2'!$AD:$AE</definedName>
    <definedName name="мм7" localSheetId="12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3">'[12]0-2'!$AH:$AI</definedName>
    <definedName name="мм8" localSheetId="10">'[4]0-2'!$AH:$AI</definedName>
    <definedName name="мм8" localSheetId="12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3">'[12]0-2'!$AL:$AM</definedName>
    <definedName name="мм9" localSheetId="10">'[4]0-2'!$AL:$AM</definedName>
    <definedName name="мм9" localSheetId="12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3">'[12]по годам'!#REF!</definedName>
    <definedName name="МО" localSheetId="10">'[4]по годам'!#REF!</definedName>
    <definedName name="МО" localSheetId="12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3">'[16]СВОД КП ПРОЕКТА книж'!$A$4:$DS$109</definedName>
    <definedName name="Нефтекамск" localSheetId="10">'[14]СВОД КП ПРОЕКТА книж'!$A$4:$DS$109</definedName>
    <definedName name="Нефтекамск" localSheetId="12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3">#REF!</definedName>
    <definedName name="оплата_труда" localSheetId="10">#REF!</definedName>
    <definedName name="оплата_труда" localSheetId="12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3">#REF!</definedName>
    <definedName name="П" localSheetId="10">#REF!</definedName>
    <definedName name="П" localSheetId="12">#REF!</definedName>
    <definedName name="П" localSheetId="7">#REF!</definedName>
    <definedName name="П" localSheetId="11">#REF!</definedName>
    <definedName name="П" localSheetId="4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3">#REF!</definedName>
    <definedName name="ппорь" localSheetId="10">#REF!</definedName>
    <definedName name="ппорь" localSheetId="12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3">#REF!</definedName>
    <definedName name="Пр.2" localSheetId="10">#REF!</definedName>
    <definedName name="Пр.2" localSheetId="12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3">#REF!</definedName>
    <definedName name="пра" localSheetId="10">#REF!</definedName>
    <definedName name="пра" localSheetId="12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3">#REF!</definedName>
    <definedName name="пэт" localSheetId="10">#REF!</definedName>
    <definedName name="пэт" localSheetId="12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3">#REF!</definedName>
    <definedName name="рд" localSheetId="10">#REF!</definedName>
    <definedName name="рд" localSheetId="12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3">#REF!</definedName>
    <definedName name="РОБЬ" localSheetId="10">#REF!</definedName>
    <definedName name="РОБЬ" localSheetId="12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3">#REF!</definedName>
    <definedName name="смп" localSheetId="10">#REF!</definedName>
    <definedName name="смп" localSheetId="12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3">#REF!</definedName>
    <definedName name="Список" localSheetId="10">#REF!</definedName>
    <definedName name="Список" localSheetId="12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3">#REF!</definedName>
    <definedName name="стер" localSheetId="10">#REF!</definedName>
    <definedName name="стер" localSheetId="12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3">#REF!</definedName>
    <definedName name="ттттт" localSheetId="10">#REF!</definedName>
    <definedName name="ттттт" localSheetId="12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3">#REF!</definedName>
    <definedName name="ф" localSheetId="10">#REF!</definedName>
    <definedName name="ф" localSheetId="12">#REF!</definedName>
    <definedName name="ф" localSheetId="7">#REF!</definedName>
    <definedName name="ф" localSheetId="11">#REF!</definedName>
    <definedName name="ф" localSheetId="4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3">[6]Данные!$DC$3:$EF$3</definedName>
    <definedName name="ФЗ" localSheetId="10">[5]Данные!$DC$3:$EF$3</definedName>
    <definedName name="ФЗ" localSheetId="12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3">[6]Данные!$AU$3:$BX$3</definedName>
    <definedName name="Шт" localSheetId="10">[5]Данные!$AU$3:$BX$3</definedName>
    <definedName name="Шт" localSheetId="12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3">#REF!</definedName>
    <definedName name="ы" localSheetId="10">#REF!</definedName>
    <definedName name="ы" localSheetId="12">#REF!</definedName>
    <definedName name="ы" localSheetId="7">#REF!</definedName>
    <definedName name="ы" localSheetId="11">#REF!</definedName>
    <definedName name="ы" localSheetId="4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3">#REF!</definedName>
    <definedName name="ЭКО" localSheetId="10">#REF!</definedName>
    <definedName name="ЭКО" localSheetId="12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79" l="1"/>
  <c r="E18" i="79"/>
  <c r="E17" i="79"/>
  <c r="E16" i="79"/>
  <c r="E15" i="79"/>
  <c r="E14" i="79"/>
  <c r="E13" i="79"/>
  <c r="E12" i="79"/>
  <c r="E10" i="79" s="1"/>
  <c r="E8" i="79" s="1"/>
  <c r="E11" i="79"/>
  <c r="K10" i="79"/>
  <c r="K8" i="79" s="1"/>
  <c r="J10" i="79"/>
  <c r="J8" i="79" s="1"/>
  <c r="I10" i="79"/>
  <c r="I8" i="79" s="1"/>
  <c r="H10" i="79"/>
  <c r="G10" i="79"/>
  <c r="F10" i="79"/>
  <c r="E9" i="79"/>
  <c r="H8" i="79"/>
  <c r="G8" i="79"/>
  <c r="F8" i="79"/>
  <c r="O31" i="36" l="1"/>
  <c r="M31" i="36"/>
  <c r="X9" i="29" l="1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29" i="29"/>
  <c r="X30" i="29"/>
  <c r="X31" i="29"/>
  <c r="X32" i="29"/>
  <c r="X33" i="29"/>
  <c r="X34" i="29"/>
  <c r="X35" i="29"/>
  <c r="X36" i="29"/>
  <c r="X37" i="29"/>
  <c r="X38" i="29"/>
  <c r="X39" i="29"/>
  <c r="X40" i="29"/>
  <c r="X41" i="29"/>
  <c r="X42" i="29"/>
  <c r="X43" i="29"/>
  <c r="X44" i="29"/>
  <c r="X45" i="29"/>
  <c r="X46" i="29"/>
  <c r="X47" i="29"/>
  <c r="X48" i="29"/>
  <c r="X49" i="29"/>
  <c r="X50" i="29"/>
  <c r="X51" i="29"/>
  <c r="X52" i="29"/>
  <c r="X53" i="29"/>
  <c r="X54" i="29"/>
  <c r="X55" i="29"/>
  <c r="X56" i="29"/>
  <c r="X57" i="29"/>
  <c r="X58" i="29"/>
  <c r="X59" i="29"/>
  <c r="X60" i="29"/>
  <c r="X61" i="29"/>
  <c r="X62" i="29"/>
  <c r="X64" i="29"/>
  <c r="X65" i="29"/>
  <c r="X66" i="29"/>
  <c r="X67" i="29"/>
  <c r="X68" i="29"/>
  <c r="X70" i="29"/>
  <c r="X71" i="29"/>
  <c r="X69" i="29" s="1"/>
  <c r="X73" i="29"/>
  <c r="X72" i="29" s="1"/>
  <c r="X74" i="29"/>
  <c r="X76" i="29"/>
  <c r="X77" i="29"/>
  <c r="X75" i="29" s="1"/>
  <c r="X79" i="29"/>
  <c r="X78" i="29" s="1"/>
  <c r="X80" i="29"/>
  <c r="X82" i="29"/>
  <c r="X83" i="29"/>
  <c r="X85" i="29"/>
  <c r="X86" i="29"/>
  <c r="X88" i="29"/>
  <c r="X89" i="29"/>
  <c r="X91" i="29"/>
  <c r="X92" i="29"/>
  <c r="X90" i="29" s="1"/>
  <c r="X94" i="29"/>
  <c r="X95" i="29"/>
  <c r="X93" i="29" s="1"/>
  <c r="X96" i="29"/>
  <c r="X98" i="29"/>
  <c r="X97" i="29" s="1"/>
  <c r="X99" i="29"/>
  <c r="X101" i="29"/>
  <c r="X100" i="29" s="1"/>
  <c r="X102" i="29"/>
  <c r="X104" i="29"/>
  <c r="X105" i="29"/>
  <c r="X107" i="29"/>
  <c r="X106" i="29" s="1"/>
  <c r="X108" i="29"/>
  <c r="X110" i="29"/>
  <c r="X111" i="29"/>
  <c r="X109" i="29" s="1"/>
  <c r="X113" i="29"/>
  <c r="X114" i="29"/>
  <c r="X116" i="29"/>
  <c r="X117" i="29"/>
  <c r="X115" i="29" s="1"/>
  <c r="X119" i="29"/>
  <c r="X118" i="29" s="1"/>
  <c r="X120" i="29"/>
  <c r="X122" i="29"/>
  <c r="X121" i="29" s="1"/>
  <c r="X123" i="29"/>
  <c r="X125" i="29"/>
  <c r="X126" i="29"/>
  <c r="X128" i="29"/>
  <c r="X129" i="29"/>
  <c r="X131" i="29"/>
  <c r="X130" i="29" s="1"/>
  <c r="X132" i="29"/>
  <c r="X133" i="29"/>
  <c r="X134" i="29"/>
  <c r="X136" i="29"/>
  <c r="X137" i="29"/>
  <c r="X138" i="29"/>
  <c r="X139" i="29"/>
  <c r="X140" i="29"/>
  <c r="X141" i="29"/>
  <c r="X127" i="29" l="1"/>
  <c r="X84" i="29"/>
  <c r="X135" i="29"/>
  <c r="X81" i="29"/>
  <c r="X112" i="29"/>
  <c r="X103" i="29"/>
  <c r="X63" i="29"/>
  <c r="X124" i="29"/>
  <c r="X87" i="29"/>
  <c r="K143" i="78"/>
  <c r="F143" i="78"/>
  <c r="D142" i="78"/>
  <c r="D141" i="78"/>
  <c r="D140" i="78"/>
  <c r="D139" i="78"/>
  <c r="D138" i="78"/>
  <c r="D137" i="78"/>
  <c r="D136" i="78"/>
  <c r="D135" i="78"/>
  <c r="D134" i="78"/>
  <c r="E133" i="78"/>
  <c r="D133" i="78" s="1"/>
  <c r="D132" i="78"/>
  <c r="E131" i="78"/>
  <c r="D131" i="78"/>
  <c r="D130" i="78"/>
  <c r="L129" i="78"/>
  <c r="D129" i="78" s="1"/>
  <c r="G128" i="78"/>
  <c r="E128" i="78"/>
  <c r="D128" i="78" s="1"/>
  <c r="D127" i="78"/>
  <c r="D126" i="78"/>
  <c r="D125" i="78"/>
  <c r="D124" i="78"/>
  <c r="E123" i="78"/>
  <c r="D123" i="78" s="1"/>
  <c r="D122" i="78"/>
  <c r="D121" i="78"/>
  <c r="D120" i="78"/>
  <c r="G119" i="78"/>
  <c r="E119" i="78"/>
  <c r="D119" i="78" s="1"/>
  <c r="D118" i="78"/>
  <c r="D117" i="78"/>
  <c r="D116" i="78"/>
  <c r="D115" i="78"/>
  <c r="G114" i="78"/>
  <c r="E114" i="78"/>
  <c r="D114" i="78" s="1"/>
  <c r="D113" i="78"/>
  <c r="G112" i="78"/>
  <c r="E112" i="78"/>
  <c r="D112" i="78" s="1"/>
  <c r="D111" i="78"/>
  <c r="I110" i="78"/>
  <c r="E110" i="78"/>
  <c r="D110" i="78"/>
  <c r="D109" i="78"/>
  <c r="D108" i="78"/>
  <c r="D107" i="78"/>
  <c r="D106" i="78"/>
  <c r="G105" i="78"/>
  <c r="E105" i="78"/>
  <c r="D105" i="78" s="1"/>
  <c r="I104" i="78"/>
  <c r="E104" i="78"/>
  <c r="D104" i="78" s="1"/>
  <c r="E103" i="78"/>
  <c r="D103" i="78" s="1"/>
  <c r="E102" i="78"/>
  <c r="D102" i="78" s="1"/>
  <c r="L101" i="78"/>
  <c r="H101" i="78"/>
  <c r="E101" i="78"/>
  <c r="D100" i="78"/>
  <c r="D99" i="78"/>
  <c r="D98" i="78"/>
  <c r="D97" i="78"/>
  <c r="E96" i="78"/>
  <c r="D96" i="78"/>
  <c r="E95" i="78"/>
  <c r="D95" i="78"/>
  <c r="E94" i="78"/>
  <c r="D94" i="78" s="1"/>
  <c r="E93" i="78"/>
  <c r="D93" i="78" s="1"/>
  <c r="E92" i="78"/>
  <c r="D92" i="78" s="1"/>
  <c r="D91" i="78"/>
  <c r="D90" i="78"/>
  <c r="D89" i="78"/>
  <c r="D88" i="78"/>
  <c r="D87" i="78"/>
  <c r="D86" i="78"/>
  <c r="D85" i="78"/>
  <c r="D84" i="78"/>
  <c r="D83" i="78"/>
  <c r="E82" i="78"/>
  <c r="D82" i="78" s="1"/>
  <c r="D81" i="78"/>
  <c r="E80" i="78"/>
  <c r="D80" i="78"/>
  <c r="E79" i="78"/>
  <c r="D79" i="78"/>
  <c r="D78" i="78"/>
  <c r="E77" i="78"/>
  <c r="D77" i="78" s="1"/>
  <c r="E76" i="78"/>
  <c r="D76" i="78" s="1"/>
  <c r="E75" i="78"/>
  <c r="D75" i="78" s="1"/>
  <c r="E74" i="78"/>
  <c r="D74" i="78" s="1"/>
  <c r="D73" i="78"/>
  <c r="D72" i="78"/>
  <c r="D71" i="78"/>
  <c r="D70" i="78"/>
  <c r="D69" i="78"/>
  <c r="D68" i="78"/>
  <c r="D67" i="78"/>
  <c r="E66" i="78"/>
  <c r="D66" i="78" s="1"/>
  <c r="E65" i="78"/>
  <c r="D65" i="78" s="1"/>
  <c r="E64" i="78"/>
  <c r="D64" i="78"/>
  <c r="D63" i="78"/>
  <c r="D62" i="78"/>
  <c r="D61" i="78"/>
  <c r="E60" i="78"/>
  <c r="D60" i="78" s="1"/>
  <c r="D59" i="78"/>
  <c r="D58" i="78"/>
  <c r="D57" i="78"/>
  <c r="E56" i="78"/>
  <c r="D56" i="78" s="1"/>
  <c r="D55" i="78"/>
  <c r="E54" i="78"/>
  <c r="D54" i="78" s="1"/>
  <c r="E53" i="78"/>
  <c r="D53" i="78" s="1"/>
  <c r="E52" i="78"/>
  <c r="D52" i="78" s="1"/>
  <c r="D51" i="78"/>
  <c r="D50" i="78"/>
  <c r="D49" i="78"/>
  <c r="D48" i="78"/>
  <c r="E47" i="78"/>
  <c r="D47" i="78" s="1"/>
  <c r="D46" i="78"/>
  <c r="E45" i="78"/>
  <c r="D45" i="78" s="1"/>
  <c r="E44" i="78"/>
  <c r="D44" i="78" s="1"/>
  <c r="E43" i="78"/>
  <c r="D43" i="78" s="1"/>
  <c r="E42" i="78"/>
  <c r="D42" i="78" s="1"/>
  <c r="D41" i="78"/>
  <c r="E40" i="78"/>
  <c r="D40" i="78" s="1"/>
  <c r="D39" i="78"/>
  <c r="E38" i="78"/>
  <c r="D38" i="78"/>
  <c r="D37" i="78"/>
  <c r="D36" i="78"/>
  <c r="E35" i="78"/>
  <c r="D35" i="78" s="1"/>
  <c r="E34" i="78"/>
  <c r="D34" i="78" s="1"/>
  <c r="D33" i="78"/>
  <c r="E32" i="78"/>
  <c r="D32" i="78" s="1"/>
  <c r="D31" i="78"/>
  <c r="D30" i="78"/>
  <c r="J29" i="78"/>
  <c r="J143" i="78" s="1"/>
  <c r="E29" i="78"/>
  <c r="D29" i="78"/>
  <c r="D28" i="78"/>
  <c r="D27" i="78"/>
  <c r="D26" i="78"/>
  <c r="E25" i="78"/>
  <c r="D25" i="78"/>
  <c r="D24" i="78"/>
  <c r="D23" i="78"/>
  <c r="D22" i="78"/>
  <c r="D21" i="78"/>
  <c r="D20" i="78"/>
  <c r="D19" i="78"/>
  <c r="H18" i="78"/>
  <c r="E18" i="78"/>
  <c r="D18" i="78" s="1"/>
  <c r="D17" i="78"/>
  <c r="E16" i="78"/>
  <c r="D16" i="78" s="1"/>
  <c r="D15" i="78"/>
  <c r="E14" i="78"/>
  <c r="D14" i="78"/>
  <c r="D13" i="78"/>
  <c r="D12" i="78"/>
  <c r="E11" i="78"/>
  <c r="D11" i="78"/>
  <c r="H10" i="78"/>
  <c r="H143" i="78" s="1"/>
  <c r="E10" i="78"/>
  <c r="D10" i="78" s="1"/>
  <c r="E9" i="78"/>
  <c r="D9" i="78" s="1"/>
  <c r="D8" i="78"/>
  <c r="E7" i="78"/>
  <c r="D7" i="78"/>
  <c r="E6" i="78"/>
  <c r="D6" i="78"/>
  <c r="E5" i="78"/>
  <c r="D5" i="78"/>
  <c r="E143" i="78" l="1"/>
  <c r="I143" i="78"/>
  <c r="G143" i="78"/>
  <c r="L143" i="78"/>
  <c r="D101" i="78"/>
  <c r="D143" i="78" s="1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7" i="66"/>
  <c r="F48" i="66"/>
  <c r="F49" i="66"/>
  <c r="F50" i="66"/>
  <c r="F51" i="66"/>
  <c r="F52" i="66"/>
  <c r="F53" i="66"/>
  <c r="F54" i="66"/>
  <c r="F55" i="66"/>
  <c r="F56" i="66"/>
  <c r="F57" i="66"/>
  <c r="F58" i="66"/>
  <c r="F59" i="66"/>
  <c r="F60" i="66"/>
  <c r="F61" i="66"/>
  <c r="F62" i="66"/>
  <c r="F63" i="66"/>
  <c r="F64" i="66"/>
  <c r="F65" i="66"/>
  <c r="F66" i="66"/>
  <c r="F67" i="66"/>
  <c r="F68" i="66"/>
  <c r="F69" i="66"/>
  <c r="F70" i="66"/>
  <c r="F71" i="66"/>
  <c r="F72" i="66"/>
  <c r="F73" i="66"/>
  <c r="F74" i="66"/>
  <c r="F75" i="66"/>
  <c r="F76" i="66"/>
  <c r="F77" i="66"/>
  <c r="F78" i="66"/>
  <c r="F79" i="66"/>
  <c r="F80" i="66"/>
  <c r="F81" i="66"/>
  <c r="F82" i="66"/>
  <c r="F83" i="66"/>
  <c r="F84" i="66"/>
  <c r="F85" i="66"/>
  <c r="F86" i="66"/>
  <c r="F87" i="66"/>
  <c r="F88" i="66"/>
  <c r="F89" i="66"/>
  <c r="F90" i="66"/>
  <c r="F91" i="66"/>
  <c r="F92" i="66"/>
  <c r="F93" i="66"/>
  <c r="F94" i="66"/>
  <c r="F95" i="66"/>
  <c r="F96" i="66"/>
  <c r="F97" i="66"/>
  <c r="F98" i="66"/>
  <c r="F99" i="66"/>
  <c r="F100" i="66"/>
  <c r="F101" i="66"/>
  <c r="F102" i="66"/>
  <c r="F103" i="66"/>
  <c r="F104" i="66"/>
  <c r="F105" i="66"/>
  <c r="F106" i="66"/>
  <c r="F107" i="66"/>
  <c r="F108" i="66"/>
  <c r="F109" i="66"/>
  <c r="F110" i="66"/>
  <c r="F111" i="66"/>
  <c r="F112" i="66"/>
  <c r="F113" i="66"/>
  <c r="F114" i="66"/>
  <c r="F115" i="66"/>
  <c r="F116" i="66"/>
  <c r="F117" i="66"/>
  <c r="F118" i="66"/>
  <c r="F119" i="66"/>
  <c r="F120" i="66"/>
  <c r="F121" i="66"/>
  <c r="F122" i="66"/>
  <c r="F123" i="66"/>
  <c r="F124" i="66"/>
  <c r="F125" i="66"/>
  <c r="F126" i="66"/>
  <c r="F127" i="66"/>
  <c r="F128" i="66"/>
  <c r="F129" i="66"/>
  <c r="F130" i="66"/>
  <c r="F131" i="66"/>
  <c r="F132" i="66"/>
  <c r="F133" i="66"/>
  <c r="F134" i="66"/>
  <c r="F135" i="66"/>
  <c r="F136" i="66"/>
  <c r="F137" i="66"/>
  <c r="F138" i="66"/>
  <c r="F139" i="66"/>
  <c r="F140" i="66"/>
  <c r="F141" i="66"/>
  <c r="F142" i="66"/>
  <c r="F143" i="66"/>
  <c r="F144" i="66"/>
  <c r="F145" i="66"/>
  <c r="F146" i="66"/>
  <c r="F147" i="66"/>
  <c r="F148" i="66"/>
  <c r="F149" i="66"/>
  <c r="F12" i="66"/>
  <c r="D13" i="66" l="1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7" i="66"/>
  <c r="D48" i="66"/>
  <c r="D49" i="66"/>
  <c r="D50" i="66"/>
  <c r="D51" i="66"/>
  <c r="D52" i="66"/>
  <c r="D53" i="66"/>
  <c r="D54" i="66"/>
  <c r="D55" i="66"/>
  <c r="D56" i="66"/>
  <c r="D57" i="66"/>
  <c r="D58" i="66"/>
  <c r="D59" i="66"/>
  <c r="D60" i="66"/>
  <c r="D61" i="66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7" i="66"/>
  <c r="D88" i="66"/>
  <c r="D89" i="66"/>
  <c r="D90" i="66"/>
  <c r="D91" i="66"/>
  <c r="D92" i="66"/>
  <c r="D93" i="66"/>
  <c r="D94" i="66"/>
  <c r="D95" i="66"/>
  <c r="D96" i="66"/>
  <c r="D97" i="66"/>
  <c r="D98" i="66"/>
  <c r="D99" i="66"/>
  <c r="D100" i="66"/>
  <c r="D101" i="66"/>
  <c r="D102" i="66"/>
  <c r="D103" i="66"/>
  <c r="D104" i="66"/>
  <c r="D105" i="66"/>
  <c r="D106" i="66"/>
  <c r="D107" i="66"/>
  <c r="D108" i="66"/>
  <c r="D109" i="66"/>
  <c r="D110" i="66"/>
  <c r="D111" i="66"/>
  <c r="D112" i="66"/>
  <c r="D113" i="66"/>
  <c r="D114" i="66"/>
  <c r="D115" i="66"/>
  <c r="D116" i="66"/>
  <c r="D117" i="66"/>
  <c r="D118" i="66"/>
  <c r="D119" i="66"/>
  <c r="D120" i="66"/>
  <c r="D121" i="66"/>
  <c r="D122" i="66"/>
  <c r="D123" i="66"/>
  <c r="D124" i="66"/>
  <c r="D125" i="66"/>
  <c r="D126" i="66"/>
  <c r="D127" i="66"/>
  <c r="D128" i="66"/>
  <c r="D129" i="66"/>
  <c r="D130" i="66"/>
  <c r="D131" i="66"/>
  <c r="D132" i="66"/>
  <c r="D133" i="66"/>
  <c r="D134" i="66"/>
  <c r="D135" i="66"/>
  <c r="D136" i="66"/>
  <c r="D137" i="66"/>
  <c r="D138" i="66"/>
  <c r="D139" i="66"/>
  <c r="D140" i="66"/>
  <c r="D141" i="66"/>
  <c r="D142" i="66"/>
  <c r="D143" i="66"/>
  <c r="D144" i="66"/>
  <c r="D145" i="66"/>
  <c r="D146" i="66"/>
  <c r="D147" i="66"/>
  <c r="D148" i="66"/>
  <c r="D149" i="66"/>
  <c r="D12" i="66"/>
  <c r="D11" i="66" l="1"/>
  <c r="J20" i="66"/>
  <c r="J28" i="66"/>
  <c r="J36" i="66"/>
  <c r="J44" i="66"/>
  <c r="J52" i="66"/>
  <c r="J60" i="66"/>
  <c r="J68" i="66"/>
  <c r="J76" i="66"/>
  <c r="J84" i="66"/>
  <c r="J92" i="66"/>
  <c r="J100" i="66"/>
  <c r="J108" i="66"/>
  <c r="J116" i="66"/>
  <c r="J124" i="66"/>
  <c r="J132" i="66"/>
  <c r="J140" i="66"/>
  <c r="J144" i="66"/>
  <c r="J145" i="66"/>
  <c r="J148" i="66"/>
  <c r="J149" i="66"/>
  <c r="J12" i="66"/>
  <c r="J13" i="66"/>
  <c r="J14" i="66"/>
  <c r="J15" i="66"/>
  <c r="J16" i="66"/>
  <c r="J17" i="66"/>
  <c r="J18" i="66"/>
  <c r="J19" i="66"/>
  <c r="J21" i="66"/>
  <c r="J22" i="66"/>
  <c r="J23" i="66"/>
  <c r="J24" i="66"/>
  <c r="J25" i="66"/>
  <c r="J26" i="66"/>
  <c r="J27" i="66"/>
  <c r="J29" i="66"/>
  <c r="J30" i="66"/>
  <c r="J31" i="66"/>
  <c r="J32" i="66"/>
  <c r="J33" i="66"/>
  <c r="J34" i="66"/>
  <c r="J35" i="66"/>
  <c r="J37" i="66"/>
  <c r="J38" i="66"/>
  <c r="J39" i="66"/>
  <c r="J40" i="66"/>
  <c r="J41" i="66"/>
  <c r="J42" i="66"/>
  <c r="J43" i="66"/>
  <c r="J45" i="66"/>
  <c r="J46" i="66"/>
  <c r="J47" i="66"/>
  <c r="J48" i="66"/>
  <c r="J49" i="66"/>
  <c r="J50" i="66"/>
  <c r="J51" i="66"/>
  <c r="J53" i="66"/>
  <c r="J54" i="66"/>
  <c r="J55" i="66"/>
  <c r="J56" i="66"/>
  <c r="J57" i="66"/>
  <c r="J58" i="66"/>
  <c r="J59" i="66"/>
  <c r="J61" i="66"/>
  <c r="J62" i="66"/>
  <c r="J63" i="66"/>
  <c r="J64" i="66"/>
  <c r="J65" i="66"/>
  <c r="J66" i="66"/>
  <c r="J67" i="66"/>
  <c r="J69" i="66"/>
  <c r="J70" i="66"/>
  <c r="J71" i="66"/>
  <c r="J72" i="66"/>
  <c r="J73" i="66"/>
  <c r="J74" i="66"/>
  <c r="J75" i="66"/>
  <c r="J77" i="66"/>
  <c r="J78" i="66"/>
  <c r="J79" i="66"/>
  <c r="J80" i="66"/>
  <c r="J81" i="66"/>
  <c r="J82" i="66"/>
  <c r="J83" i="66"/>
  <c r="J85" i="66"/>
  <c r="J86" i="66"/>
  <c r="J87" i="66"/>
  <c r="J88" i="66"/>
  <c r="J89" i="66"/>
  <c r="J90" i="66"/>
  <c r="J91" i="66"/>
  <c r="J93" i="66"/>
  <c r="J94" i="66"/>
  <c r="J95" i="66"/>
  <c r="J96" i="66"/>
  <c r="J97" i="66"/>
  <c r="J98" i="66"/>
  <c r="J99" i="66"/>
  <c r="J101" i="66"/>
  <c r="J102" i="66"/>
  <c r="J103" i="66"/>
  <c r="J104" i="66"/>
  <c r="J105" i="66"/>
  <c r="J106" i="66"/>
  <c r="J107" i="66"/>
  <c r="J109" i="66"/>
  <c r="J110" i="66"/>
  <c r="J111" i="66"/>
  <c r="J112" i="66"/>
  <c r="J113" i="66"/>
  <c r="J114" i="66"/>
  <c r="J115" i="66"/>
  <c r="J117" i="66"/>
  <c r="J118" i="66"/>
  <c r="J119" i="66"/>
  <c r="J120" i="66"/>
  <c r="J121" i="66"/>
  <c r="J122" i="66"/>
  <c r="J123" i="66"/>
  <c r="J125" i="66"/>
  <c r="J126" i="66"/>
  <c r="J127" i="66"/>
  <c r="J128" i="66"/>
  <c r="J129" i="66"/>
  <c r="J130" i="66"/>
  <c r="J131" i="66"/>
  <c r="J133" i="66"/>
  <c r="J134" i="66"/>
  <c r="J135" i="66"/>
  <c r="J136" i="66"/>
  <c r="J137" i="66"/>
  <c r="J138" i="66"/>
  <c r="J139" i="66"/>
  <c r="J141" i="66"/>
  <c r="J142" i="66"/>
  <c r="J143" i="66"/>
  <c r="J146" i="66"/>
  <c r="J147" i="66"/>
  <c r="K11" i="66"/>
  <c r="G11" i="66" l="1"/>
  <c r="T66" i="77"/>
  <c r="S66" i="77"/>
  <c r="R66" i="77"/>
  <c r="Q66" i="77"/>
  <c r="P66" i="77"/>
  <c r="O66" i="77"/>
  <c r="N66" i="77"/>
  <c r="M66" i="77"/>
  <c r="L66" i="77"/>
  <c r="F66" i="77"/>
  <c r="T65" i="77"/>
  <c r="S65" i="77"/>
  <c r="R65" i="77"/>
  <c r="Q65" i="77"/>
  <c r="P65" i="77"/>
  <c r="O65" i="77"/>
  <c r="N65" i="77"/>
  <c r="M65" i="77"/>
  <c r="L65" i="77"/>
  <c r="K65" i="77"/>
  <c r="D63" i="77"/>
  <c r="K62" i="77"/>
  <c r="I62" i="77"/>
  <c r="E62" i="77"/>
  <c r="D61" i="77"/>
  <c r="I60" i="77"/>
  <c r="E60" i="77"/>
  <c r="D60" i="77" s="1"/>
  <c r="D59" i="77"/>
  <c r="D58" i="77"/>
  <c r="D57" i="77"/>
  <c r="D56" i="77"/>
  <c r="D55" i="77"/>
  <c r="D54" i="77"/>
  <c r="D53" i="77"/>
  <c r="L52" i="77"/>
  <c r="K52" i="77"/>
  <c r="J52" i="77"/>
  <c r="I52" i="77"/>
  <c r="H52" i="77"/>
  <c r="G52" i="77"/>
  <c r="F52" i="77"/>
  <c r="E52" i="77"/>
  <c r="D51" i="77"/>
  <c r="I50" i="77"/>
  <c r="D50" i="77" s="1"/>
  <c r="L49" i="77"/>
  <c r="K49" i="77"/>
  <c r="J49" i="77"/>
  <c r="H49" i="77"/>
  <c r="G49" i="77"/>
  <c r="F49" i="77"/>
  <c r="E49" i="77"/>
  <c r="D48" i="77"/>
  <c r="D47" i="77"/>
  <c r="J46" i="77"/>
  <c r="I46" i="77"/>
  <c r="H46" i="77"/>
  <c r="G46" i="77"/>
  <c r="F46" i="77"/>
  <c r="E46" i="77"/>
  <c r="D45" i="77"/>
  <c r="D44" i="77"/>
  <c r="D43" i="77"/>
  <c r="D42" i="77"/>
  <c r="D41" i="77"/>
  <c r="D40" i="77"/>
  <c r="D39" i="77"/>
  <c r="D38" i="77"/>
  <c r="D37" i="77"/>
  <c r="D36" i="77"/>
  <c r="D35" i="77"/>
  <c r="D34" i="77"/>
  <c r="D33" i="77"/>
  <c r="D32" i="77"/>
  <c r="K31" i="77"/>
  <c r="I31" i="77"/>
  <c r="I29" i="77" s="1"/>
  <c r="E31" i="77"/>
  <c r="E29" i="77" s="1"/>
  <c r="D30" i="77"/>
  <c r="T29" i="77"/>
  <c r="S29" i="77"/>
  <c r="R29" i="77"/>
  <c r="Q29" i="77"/>
  <c r="P29" i="77"/>
  <c r="O29" i="77"/>
  <c r="N29" i="77"/>
  <c r="M29" i="77"/>
  <c r="L29" i="77"/>
  <c r="K29" i="77"/>
  <c r="J29" i="77"/>
  <c r="H29" i="77"/>
  <c r="G29" i="77"/>
  <c r="F29" i="77"/>
  <c r="D28" i="77"/>
  <c r="D27" i="77"/>
  <c r="D26" i="77"/>
  <c r="K25" i="77"/>
  <c r="I25" i="77"/>
  <c r="H25" i="77"/>
  <c r="H66" i="77" s="1"/>
  <c r="G25" i="77"/>
  <c r="G66" i="77" s="1"/>
  <c r="E25" i="77"/>
  <c r="D24" i="77"/>
  <c r="D23" i="77"/>
  <c r="T22" i="77"/>
  <c r="S22" i="77"/>
  <c r="R22" i="77"/>
  <c r="Q22" i="77"/>
  <c r="P22" i="77"/>
  <c r="O22" i="77"/>
  <c r="N22" i="77"/>
  <c r="M22" i="77"/>
  <c r="L22" i="77"/>
  <c r="K22" i="77"/>
  <c r="J22" i="77"/>
  <c r="I22" i="77"/>
  <c r="H22" i="77"/>
  <c r="G22" i="77"/>
  <c r="F22" i="77"/>
  <c r="E22" i="77"/>
  <c r="D21" i="77"/>
  <c r="D20" i="77"/>
  <c r="T19" i="77"/>
  <c r="S19" i="77"/>
  <c r="R19" i="77"/>
  <c r="Q19" i="77"/>
  <c r="P19" i="77"/>
  <c r="O19" i="77"/>
  <c r="N19" i="77"/>
  <c r="M19" i="77"/>
  <c r="L19" i="77"/>
  <c r="K19" i="77"/>
  <c r="J19" i="77"/>
  <c r="I19" i="77"/>
  <c r="H19" i="77"/>
  <c r="G19" i="77"/>
  <c r="F19" i="77"/>
  <c r="E19" i="77"/>
  <c r="D18" i="77"/>
  <c r="D17" i="77"/>
  <c r="D16" i="77"/>
  <c r="D15" i="77"/>
  <c r="K14" i="77"/>
  <c r="K12" i="77" s="1"/>
  <c r="I14" i="77"/>
  <c r="I12" i="77" s="1"/>
  <c r="E14" i="77"/>
  <c r="E12" i="77" s="1"/>
  <c r="D13" i="77"/>
  <c r="T12" i="77"/>
  <c r="S12" i="77"/>
  <c r="R12" i="77"/>
  <c r="Q12" i="77"/>
  <c r="P12" i="77"/>
  <c r="O12" i="77"/>
  <c r="N12" i="77"/>
  <c r="M12" i="77"/>
  <c r="L12" i="77"/>
  <c r="J12" i="77"/>
  <c r="H12" i="77"/>
  <c r="G12" i="77"/>
  <c r="F12" i="77"/>
  <c r="D10" i="77"/>
  <c r="J9" i="77"/>
  <c r="I9" i="77"/>
  <c r="I8" i="77" s="1"/>
  <c r="H9" i="77"/>
  <c r="G9" i="77"/>
  <c r="G65" i="77" s="1"/>
  <c r="F9" i="77"/>
  <c r="E9" i="77"/>
  <c r="E65" i="77" s="1"/>
  <c r="T8" i="77"/>
  <c r="S8" i="77"/>
  <c r="R8" i="77"/>
  <c r="Q8" i="77"/>
  <c r="P8" i="77"/>
  <c r="O8" i="77"/>
  <c r="N8" i="77"/>
  <c r="M8" i="77"/>
  <c r="L8" i="77"/>
  <c r="K8" i="77"/>
  <c r="J8" i="77"/>
  <c r="G8" i="77" l="1"/>
  <c r="G64" i="77" s="1"/>
  <c r="Q64" i="77"/>
  <c r="J64" i="77"/>
  <c r="R64" i="77"/>
  <c r="H65" i="77"/>
  <c r="S64" i="77"/>
  <c r="F65" i="77"/>
  <c r="D22" i="77"/>
  <c r="D25" i="77"/>
  <c r="J65" i="77"/>
  <c r="D52" i="77"/>
  <c r="T64" i="77"/>
  <c r="D29" i="77"/>
  <c r="D46" i="77"/>
  <c r="L64" i="77"/>
  <c r="M64" i="77"/>
  <c r="D9" i="77"/>
  <c r="I66" i="77"/>
  <c r="D31" i="77"/>
  <c r="N64" i="77"/>
  <c r="D11" i="77"/>
  <c r="D19" i="77"/>
  <c r="K64" i="77"/>
  <c r="O64" i="77"/>
  <c r="K66" i="77"/>
  <c r="F8" i="77"/>
  <c r="F64" i="77" s="1"/>
  <c r="P64" i="77"/>
  <c r="D12" i="77"/>
  <c r="E66" i="77"/>
  <c r="J66" i="77"/>
  <c r="I65" i="77"/>
  <c r="E8" i="77"/>
  <c r="I49" i="77"/>
  <c r="D49" i="77" s="1"/>
  <c r="D62" i="77"/>
  <c r="H8" i="77"/>
  <c r="H64" i="77" s="1"/>
  <c r="D14" i="77"/>
  <c r="D65" i="77" l="1"/>
  <c r="E64" i="77"/>
  <c r="D8" i="77"/>
  <c r="D66" i="77"/>
  <c r="I64" i="77"/>
  <c r="D64" i="77" l="1"/>
  <c r="U29" i="72" l="1"/>
  <c r="F27" i="75"/>
  <c r="W25" i="72" l="1"/>
  <c r="V25" i="72"/>
  <c r="G23" i="75" l="1"/>
  <c r="K23" i="76"/>
  <c r="H83" i="25" l="1"/>
  <c r="H86" i="25"/>
  <c r="O84" i="74" l="1"/>
  <c r="E84" i="74"/>
  <c r="E74" i="74"/>
  <c r="L147" i="76"/>
  <c r="D147" i="76" s="1"/>
  <c r="L146" i="76"/>
  <c r="D146" i="76" s="1"/>
  <c r="L145" i="76"/>
  <c r="E145" i="76"/>
  <c r="L144" i="76"/>
  <c r="E144" i="76"/>
  <c r="L143" i="76"/>
  <c r="E143" i="76"/>
  <c r="L142" i="76"/>
  <c r="E142" i="76"/>
  <c r="L141" i="76"/>
  <c r="E141" i="76"/>
  <c r="L140" i="76"/>
  <c r="E140" i="76"/>
  <c r="L139" i="76"/>
  <c r="H139" i="76"/>
  <c r="E139" i="76"/>
  <c r="L138" i="76"/>
  <c r="H138" i="76"/>
  <c r="E138" i="76"/>
  <c r="L137" i="76"/>
  <c r="H137" i="76"/>
  <c r="E137" i="76"/>
  <c r="L136" i="76"/>
  <c r="H136" i="76"/>
  <c r="E136" i="76"/>
  <c r="L135" i="76"/>
  <c r="H135" i="76"/>
  <c r="E135" i="76"/>
  <c r="L134" i="76"/>
  <c r="H134" i="76"/>
  <c r="E134" i="76"/>
  <c r="L133" i="76"/>
  <c r="H133" i="76"/>
  <c r="E133" i="76"/>
  <c r="L132" i="76"/>
  <c r="H132" i="76"/>
  <c r="E132" i="76"/>
  <c r="L131" i="76"/>
  <c r="H131" i="76"/>
  <c r="E131" i="76"/>
  <c r="L130" i="76"/>
  <c r="H130" i="76"/>
  <c r="E130" i="76"/>
  <c r="L129" i="76"/>
  <c r="H129" i="76"/>
  <c r="E129" i="76"/>
  <c r="L128" i="76"/>
  <c r="H128" i="76"/>
  <c r="E128" i="76"/>
  <c r="L127" i="76"/>
  <c r="H127" i="76"/>
  <c r="E127" i="76"/>
  <c r="L126" i="76"/>
  <c r="H126" i="76"/>
  <c r="E126" i="76"/>
  <c r="L125" i="76"/>
  <c r="H125" i="76"/>
  <c r="E125" i="76"/>
  <c r="L124" i="76"/>
  <c r="E124" i="76"/>
  <c r="L123" i="76"/>
  <c r="E123" i="76"/>
  <c r="L122" i="76"/>
  <c r="E122" i="76"/>
  <c r="L121" i="76"/>
  <c r="E121" i="76"/>
  <c r="L120" i="76"/>
  <c r="E120" i="76"/>
  <c r="L119" i="76"/>
  <c r="E119" i="76"/>
  <c r="L118" i="76"/>
  <c r="E118" i="76"/>
  <c r="L117" i="76"/>
  <c r="E117" i="76"/>
  <c r="L116" i="76"/>
  <c r="E116" i="76"/>
  <c r="L115" i="76"/>
  <c r="H115" i="76"/>
  <c r="E115" i="76"/>
  <c r="L114" i="76"/>
  <c r="E114" i="76"/>
  <c r="L113" i="76"/>
  <c r="E113" i="76"/>
  <c r="L112" i="76"/>
  <c r="E112" i="76"/>
  <c r="L111" i="76"/>
  <c r="E111" i="76"/>
  <c r="L110" i="76"/>
  <c r="E110" i="76"/>
  <c r="L109" i="76"/>
  <c r="H109" i="76"/>
  <c r="E109" i="76"/>
  <c r="L108" i="76"/>
  <c r="H108" i="76"/>
  <c r="E108" i="76"/>
  <c r="L107" i="76"/>
  <c r="H107" i="76"/>
  <c r="E107" i="76"/>
  <c r="L106" i="76"/>
  <c r="H106" i="76"/>
  <c r="E106" i="76"/>
  <c r="L105" i="76"/>
  <c r="H105" i="76"/>
  <c r="E105" i="76"/>
  <c r="L104" i="76"/>
  <c r="H104" i="76"/>
  <c r="E104" i="76"/>
  <c r="L103" i="76"/>
  <c r="H103" i="76"/>
  <c r="E103" i="76"/>
  <c r="L102" i="76"/>
  <c r="H102" i="76"/>
  <c r="E102" i="76"/>
  <c r="L101" i="76"/>
  <c r="H101" i="76"/>
  <c r="E101" i="76"/>
  <c r="L100" i="76"/>
  <c r="H100" i="76"/>
  <c r="E100" i="76"/>
  <c r="L99" i="76"/>
  <c r="H99" i="76"/>
  <c r="E99" i="76"/>
  <c r="L98" i="76"/>
  <c r="H98" i="76"/>
  <c r="E98" i="76"/>
  <c r="L97" i="76"/>
  <c r="H97" i="76"/>
  <c r="E97" i="76"/>
  <c r="L96" i="76"/>
  <c r="H96" i="76"/>
  <c r="E96" i="76"/>
  <c r="L95" i="76"/>
  <c r="H95" i="76"/>
  <c r="E95" i="76"/>
  <c r="L94" i="76"/>
  <c r="H94" i="76"/>
  <c r="E94" i="76"/>
  <c r="L93" i="76"/>
  <c r="E93" i="76"/>
  <c r="L92" i="76"/>
  <c r="H92" i="76"/>
  <c r="E92" i="76"/>
  <c r="L91" i="76"/>
  <c r="H91" i="76"/>
  <c r="E91" i="76"/>
  <c r="L90" i="76"/>
  <c r="H90" i="76"/>
  <c r="E90" i="76"/>
  <c r="L89" i="76"/>
  <c r="H89" i="76"/>
  <c r="E89" i="76"/>
  <c r="L88" i="76"/>
  <c r="H88" i="76"/>
  <c r="E88" i="76"/>
  <c r="L87" i="76"/>
  <c r="H87" i="76"/>
  <c r="E87" i="76"/>
  <c r="L86" i="76"/>
  <c r="H86" i="76"/>
  <c r="L85" i="76"/>
  <c r="H85" i="76"/>
  <c r="E85" i="76"/>
  <c r="L84" i="76"/>
  <c r="H84" i="76"/>
  <c r="E84" i="76"/>
  <c r="L83" i="76"/>
  <c r="H83" i="76"/>
  <c r="E83" i="76"/>
  <c r="L82" i="76"/>
  <c r="H82" i="76"/>
  <c r="E82" i="76"/>
  <c r="L81" i="76"/>
  <c r="H81" i="76"/>
  <c r="E81" i="76"/>
  <c r="L80" i="76"/>
  <c r="H80" i="76"/>
  <c r="E80" i="76"/>
  <c r="L79" i="76"/>
  <c r="H79" i="76"/>
  <c r="E79" i="76"/>
  <c r="L78" i="76"/>
  <c r="H78" i="76"/>
  <c r="E78" i="76"/>
  <c r="L77" i="76"/>
  <c r="H77" i="76"/>
  <c r="E77" i="76"/>
  <c r="H76" i="76"/>
  <c r="D76" i="76" s="1"/>
  <c r="L75" i="76"/>
  <c r="H75" i="76"/>
  <c r="E75" i="76"/>
  <c r="L74" i="76"/>
  <c r="H74" i="76"/>
  <c r="E74" i="76"/>
  <c r="L73" i="76"/>
  <c r="H73" i="76"/>
  <c r="E73" i="76"/>
  <c r="D73" i="76" s="1"/>
  <c r="L72" i="76"/>
  <c r="H72" i="76"/>
  <c r="E72" i="76"/>
  <c r="L71" i="76"/>
  <c r="H71" i="76"/>
  <c r="E71" i="76"/>
  <c r="L70" i="76"/>
  <c r="H70" i="76"/>
  <c r="E70" i="76"/>
  <c r="L69" i="76"/>
  <c r="H69" i="76"/>
  <c r="E69" i="76"/>
  <c r="L68" i="76"/>
  <c r="H68" i="76"/>
  <c r="E68" i="76"/>
  <c r="L67" i="76"/>
  <c r="H67" i="76"/>
  <c r="E67" i="76"/>
  <c r="L66" i="76"/>
  <c r="H66" i="76"/>
  <c r="E66" i="76"/>
  <c r="L65" i="76"/>
  <c r="H65" i="76"/>
  <c r="E65" i="76"/>
  <c r="D65" i="76" s="1"/>
  <c r="L64" i="76"/>
  <c r="H64" i="76"/>
  <c r="E64" i="76"/>
  <c r="L63" i="76"/>
  <c r="E63" i="76"/>
  <c r="L62" i="76"/>
  <c r="E62" i="76"/>
  <c r="L61" i="76"/>
  <c r="H61" i="76"/>
  <c r="E61" i="76"/>
  <c r="L60" i="76"/>
  <c r="H60" i="76"/>
  <c r="E60" i="76"/>
  <c r="L59" i="76"/>
  <c r="H59" i="76"/>
  <c r="E59" i="76"/>
  <c r="D59" i="76" s="1"/>
  <c r="L58" i="76"/>
  <c r="H58" i="76"/>
  <c r="E58" i="76"/>
  <c r="L57" i="76"/>
  <c r="H57" i="76"/>
  <c r="E57" i="76"/>
  <c r="L56" i="76"/>
  <c r="H56" i="76"/>
  <c r="E56" i="76"/>
  <c r="L55" i="76"/>
  <c r="H55" i="76"/>
  <c r="E55" i="76"/>
  <c r="L54" i="76"/>
  <c r="H54" i="76"/>
  <c r="E54" i="76"/>
  <c r="L53" i="76"/>
  <c r="H53" i="76"/>
  <c r="E53" i="76"/>
  <c r="L52" i="76"/>
  <c r="H52" i="76"/>
  <c r="E52" i="76"/>
  <c r="L51" i="76"/>
  <c r="H51" i="76"/>
  <c r="E51" i="76"/>
  <c r="D51" i="76" s="1"/>
  <c r="L50" i="76"/>
  <c r="H50" i="76"/>
  <c r="E50" i="76"/>
  <c r="L49" i="76"/>
  <c r="H49" i="76"/>
  <c r="E49" i="76"/>
  <c r="L48" i="76"/>
  <c r="H48" i="76"/>
  <c r="E48" i="76"/>
  <c r="L47" i="76"/>
  <c r="H47" i="76"/>
  <c r="E47" i="76"/>
  <c r="L46" i="76"/>
  <c r="H46" i="76"/>
  <c r="E46" i="76"/>
  <c r="L45" i="76"/>
  <c r="H45" i="76"/>
  <c r="E45" i="76"/>
  <c r="L44" i="76"/>
  <c r="H44" i="76"/>
  <c r="E44" i="76"/>
  <c r="L43" i="76"/>
  <c r="H43" i="76"/>
  <c r="E43" i="76"/>
  <c r="D43" i="76" s="1"/>
  <c r="L42" i="76"/>
  <c r="H42" i="76"/>
  <c r="E42" i="76"/>
  <c r="L41" i="76"/>
  <c r="H41" i="76"/>
  <c r="E41" i="76"/>
  <c r="L40" i="76"/>
  <c r="H40" i="76"/>
  <c r="E40" i="76"/>
  <c r="L39" i="76"/>
  <c r="H39" i="76"/>
  <c r="E39" i="76"/>
  <c r="L38" i="76"/>
  <c r="H38" i="76"/>
  <c r="E38" i="76"/>
  <c r="L37" i="76"/>
  <c r="H37" i="76"/>
  <c r="E37" i="76"/>
  <c r="L36" i="76"/>
  <c r="H36" i="76"/>
  <c r="E36" i="76"/>
  <c r="L35" i="76"/>
  <c r="H35" i="76"/>
  <c r="E35" i="76"/>
  <c r="D35" i="76" s="1"/>
  <c r="L34" i="76"/>
  <c r="H34" i="76"/>
  <c r="E34" i="76"/>
  <c r="L33" i="76"/>
  <c r="E33" i="76"/>
  <c r="L32" i="76"/>
  <c r="E32" i="76"/>
  <c r="L31" i="76"/>
  <c r="H31" i="76"/>
  <c r="E31" i="76"/>
  <c r="L30" i="76"/>
  <c r="H30" i="76"/>
  <c r="E30" i="76"/>
  <c r="L29" i="76"/>
  <c r="H29" i="76"/>
  <c r="E29" i="76"/>
  <c r="D29" i="76" s="1"/>
  <c r="L28" i="76"/>
  <c r="H28" i="76"/>
  <c r="E28" i="76"/>
  <c r="L27" i="76"/>
  <c r="H27" i="76"/>
  <c r="E27" i="76"/>
  <c r="L26" i="76"/>
  <c r="H26" i="76"/>
  <c r="E26" i="76"/>
  <c r="L25" i="76"/>
  <c r="H25" i="76"/>
  <c r="E25" i="76"/>
  <c r="L24" i="76"/>
  <c r="H24" i="76"/>
  <c r="E24" i="76"/>
  <c r="L23" i="76"/>
  <c r="H23" i="76"/>
  <c r="E23" i="76"/>
  <c r="L22" i="76"/>
  <c r="H22" i="76"/>
  <c r="E22" i="76"/>
  <c r="L21" i="76"/>
  <c r="H21" i="76"/>
  <c r="E21" i="76"/>
  <c r="D21" i="76" s="1"/>
  <c r="L20" i="76"/>
  <c r="H20" i="76"/>
  <c r="E20" i="76"/>
  <c r="L19" i="76"/>
  <c r="H19" i="76"/>
  <c r="E19" i="76"/>
  <c r="L18" i="76"/>
  <c r="H18" i="76"/>
  <c r="E18" i="76"/>
  <c r="L17" i="76"/>
  <c r="H17" i="76"/>
  <c r="E17" i="76"/>
  <c r="L16" i="76"/>
  <c r="H16" i="76"/>
  <c r="E16" i="76"/>
  <c r="L15" i="76"/>
  <c r="H15" i="76"/>
  <c r="E15" i="76"/>
  <c r="L14" i="76"/>
  <c r="H14" i="76"/>
  <c r="E14" i="76"/>
  <c r="L13" i="76"/>
  <c r="H13" i="76"/>
  <c r="E13" i="76"/>
  <c r="D13" i="76" s="1"/>
  <c r="L12" i="76"/>
  <c r="H12" i="76"/>
  <c r="E12" i="76"/>
  <c r="L11" i="76"/>
  <c r="H11" i="76"/>
  <c r="E11" i="76"/>
  <c r="L10" i="76"/>
  <c r="H10" i="76"/>
  <c r="G9" i="76"/>
  <c r="E10" i="76"/>
  <c r="N9" i="76"/>
  <c r="M9" i="76"/>
  <c r="K9" i="76"/>
  <c r="J9" i="76"/>
  <c r="I9" i="76"/>
  <c r="N8" i="76"/>
  <c r="M8" i="76"/>
  <c r="L8" i="76"/>
  <c r="K8" i="76"/>
  <c r="J8" i="76"/>
  <c r="I8" i="76"/>
  <c r="G8" i="76"/>
  <c r="F8" i="76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F98" i="75"/>
  <c r="F9" i="75" s="1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G9" i="75"/>
  <c r="G8" i="75"/>
  <c r="F8" i="75"/>
  <c r="E8" i="75"/>
  <c r="S148" i="74"/>
  <c r="H148" i="74"/>
  <c r="S147" i="74"/>
  <c r="H147" i="74"/>
  <c r="E147" i="74"/>
  <c r="S146" i="74"/>
  <c r="H146" i="74"/>
  <c r="S145" i="74"/>
  <c r="H145" i="74"/>
  <c r="E145" i="74"/>
  <c r="S144" i="74"/>
  <c r="H144" i="74"/>
  <c r="S143" i="74"/>
  <c r="H143" i="74"/>
  <c r="E143" i="74"/>
  <c r="S142" i="74"/>
  <c r="H142" i="74"/>
  <c r="S141" i="74"/>
  <c r="H141" i="74"/>
  <c r="E141" i="74"/>
  <c r="S140" i="74"/>
  <c r="O140" i="74"/>
  <c r="H140" i="74"/>
  <c r="E140" i="74"/>
  <c r="S139" i="74"/>
  <c r="O139" i="74"/>
  <c r="H139" i="74"/>
  <c r="S138" i="74"/>
  <c r="O138" i="74"/>
  <c r="H138" i="74"/>
  <c r="E138" i="74"/>
  <c r="S137" i="74"/>
  <c r="O137" i="74"/>
  <c r="H137" i="74"/>
  <c r="S136" i="74"/>
  <c r="O136" i="74"/>
  <c r="H136" i="74"/>
  <c r="S135" i="74"/>
  <c r="O135" i="74"/>
  <c r="H135" i="74"/>
  <c r="E135" i="74"/>
  <c r="S134" i="74"/>
  <c r="O134" i="74"/>
  <c r="H134" i="74"/>
  <c r="E134" i="74"/>
  <c r="S133" i="74"/>
  <c r="O133" i="74"/>
  <c r="H133" i="74"/>
  <c r="S132" i="74"/>
  <c r="O132" i="74"/>
  <c r="H132" i="74"/>
  <c r="E132" i="74"/>
  <c r="S131" i="74"/>
  <c r="O131" i="74"/>
  <c r="H131" i="74"/>
  <c r="E131" i="74"/>
  <c r="S130" i="74"/>
  <c r="Q130" i="74"/>
  <c r="O130" i="74" s="1"/>
  <c r="H130" i="74"/>
  <c r="S129" i="74"/>
  <c r="O129" i="74"/>
  <c r="H129" i="74"/>
  <c r="S128" i="74"/>
  <c r="O128" i="74"/>
  <c r="H128" i="74"/>
  <c r="S127" i="74"/>
  <c r="H127" i="74"/>
  <c r="S126" i="74"/>
  <c r="O126" i="74"/>
  <c r="H126" i="74"/>
  <c r="E126" i="74"/>
  <c r="S125" i="74"/>
  <c r="O125" i="74"/>
  <c r="H125" i="74"/>
  <c r="S124" i="74"/>
  <c r="O124" i="74"/>
  <c r="H124" i="74"/>
  <c r="E124" i="74"/>
  <c r="S123" i="74"/>
  <c r="O123" i="74"/>
  <c r="H123" i="74"/>
  <c r="E123" i="74"/>
  <c r="S122" i="74"/>
  <c r="O122" i="74"/>
  <c r="H122" i="74"/>
  <c r="E122" i="74"/>
  <c r="S121" i="74"/>
  <c r="O121" i="74"/>
  <c r="H121" i="74"/>
  <c r="S120" i="74"/>
  <c r="O120" i="74"/>
  <c r="H120" i="74"/>
  <c r="E120" i="74"/>
  <c r="S119" i="74"/>
  <c r="O119" i="74"/>
  <c r="H119" i="74"/>
  <c r="E119" i="74"/>
  <c r="S118" i="74"/>
  <c r="O118" i="74"/>
  <c r="H118" i="74"/>
  <c r="S117" i="74"/>
  <c r="O117" i="74"/>
  <c r="H117" i="74"/>
  <c r="S116" i="74"/>
  <c r="O116" i="74"/>
  <c r="H116" i="74"/>
  <c r="E116" i="74"/>
  <c r="S115" i="74"/>
  <c r="O115" i="74"/>
  <c r="H115" i="74"/>
  <c r="E115" i="74"/>
  <c r="S114" i="74"/>
  <c r="O114" i="74"/>
  <c r="H114" i="74"/>
  <c r="E114" i="74"/>
  <c r="S113" i="74"/>
  <c r="O113" i="74"/>
  <c r="H113" i="74"/>
  <c r="E113" i="74"/>
  <c r="S112" i="74"/>
  <c r="O112" i="74"/>
  <c r="H112" i="74"/>
  <c r="S111" i="74"/>
  <c r="O111" i="74"/>
  <c r="H111" i="74"/>
  <c r="E111" i="74"/>
  <c r="S110" i="74"/>
  <c r="O110" i="74"/>
  <c r="H110" i="74"/>
  <c r="E110" i="74"/>
  <c r="S109" i="74"/>
  <c r="O109" i="74"/>
  <c r="H109" i="74"/>
  <c r="E109" i="74"/>
  <c r="S108" i="74"/>
  <c r="O108" i="74"/>
  <c r="H108" i="74"/>
  <c r="E108" i="74"/>
  <c r="S107" i="74"/>
  <c r="O107" i="74"/>
  <c r="H107" i="74"/>
  <c r="S106" i="74"/>
  <c r="O106" i="74"/>
  <c r="H106" i="74"/>
  <c r="S105" i="74"/>
  <c r="O105" i="74"/>
  <c r="H105" i="74"/>
  <c r="E105" i="74"/>
  <c r="S104" i="74"/>
  <c r="O104" i="74"/>
  <c r="H104" i="74"/>
  <c r="E104" i="74"/>
  <c r="S103" i="74"/>
  <c r="O103" i="74"/>
  <c r="H103" i="74"/>
  <c r="S102" i="74"/>
  <c r="O102" i="74"/>
  <c r="H102" i="74"/>
  <c r="E102" i="74"/>
  <c r="S101" i="74"/>
  <c r="O101" i="74"/>
  <c r="H101" i="74"/>
  <c r="E101" i="74"/>
  <c r="S100" i="74"/>
  <c r="O100" i="74"/>
  <c r="H100" i="74"/>
  <c r="S99" i="74"/>
  <c r="O99" i="74"/>
  <c r="K99" i="74"/>
  <c r="H99" i="74" s="1"/>
  <c r="E99" i="74"/>
  <c r="S98" i="74"/>
  <c r="O98" i="74"/>
  <c r="H98" i="74"/>
  <c r="S97" i="74"/>
  <c r="O97" i="74"/>
  <c r="H97" i="74"/>
  <c r="E97" i="74"/>
  <c r="S96" i="74"/>
  <c r="O96" i="74"/>
  <c r="H96" i="74"/>
  <c r="E96" i="74"/>
  <c r="S95" i="74"/>
  <c r="O95" i="74"/>
  <c r="H95" i="74"/>
  <c r="S94" i="74"/>
  <c r="O94" i="74"/>
  <c r="H94" i="74"/>
  <c r="E94" i="74"/>
  <c r="S93" i="74"/>
  <c r="O93" i="74"/>
  <c r="H93" i="74"/>
  <c r="S92" i="74"/>
  <c r="O92" i="74"/>
  <c r="H92" i="74"/>
  <c r="S91" i="74"/>
  <c r="O91" i="74"/>
  <c r="H91" i="74"/>
  <c r="S90" i="74"/>
  <c r="H90" i="74"/>
  <c r="E90" i="74"/>
  <c r="S89" i="74"/>
  <c r="O89" i="74"/>
  <c r="H89" i="74"/>
  <c r="E89" i="74"/>
  <c r="S88" i="74"/>
  <c r="O88" i="74"/>
  <c r="H88" i="74"/>
  <c r="H87" i="74"/>
  <c r="D87" i="74" s="1"/>
  <c r="S86" i="74"/>
  <c r="O86" i="74"/>
  <c r="H86" i="74"/>
  <c r="E86" i="74"/>
  <c r="S85" i="74"/>
  <c r="O85" i="74"/>
  <c r="H85" i="74"/>
  <c r="E85" i="74"/>
  <c r="H84" i="74"/>
  <c r="S83" i="74"/>
  <c r="O83" i="74"/>
  <c r="H83" i="74"/>
  <c r="E83" i="74"/>
  <c r="S82" i="74"/>
  <c r="O82" i="74"/>
  <c r="H82" i="74"/>
  <c r="E82" i="74"/>
  <c r="S81" i="74"/>
  <c r="O81" i="74"/>
  <c r="H81" i="74"/>
  <c r="E81" i="74"/>
  <c r="S80" i="74"/>
  <c r="O80" i="74"/>
  <c r="H80" i="74"/>
  <c r="E80" i="74"/>
  <c r="S79" i="74"/>
  <c r="O79" i="74"/>
  <c r="H79" i="74"/>
  <c r="E79" i="74"/>
  <c r="S78" i="74"/>
  <c r="O78" i="74"/>
  <c r="H78" i="74"/>
  <c r="S77" i="74"/>
  <c r="O77" i="74"/>
  <c r="H77" i="74"/>
  <c r="E77" i="74"/>
  <c r="S76" i="74"/>
  <c r="O76" i="74"/>
  <c r="H76" i="74"/>
  <c r="E76" i="74"/>
  <c r="S75" i="74"/>
  <c r="O75" i="74"/>
  <c r="H75" i="74"/>
  <c r="H74" i="74"/>
  <c r="S73" i="74"/>
  <c r="O73" i="74"/>
  <c r="H73" i="74"/>
  <c r="E73" i="74"/>
  <c r="S72" i="74"/>
  <c r="O72" i="74"/>
  <c r="H72" i="74"/>
  <c r="E72" i="74"/>
  <c r="S71" i="74"/>
  <c r="O71" i="74"/>
  <c r="H71" i="74"/>
  <c r="S70" i="74"/>
  <c r="O70" i="74"/>
  <c r="H70" i="74"/>
  <c r="S69" i="74"/>
  <c r="O69" i="74"/>
  <c r="H69" i="74"/>
  <c r="E69" i="74"/>
  <c r="S68" i="74"/>
  <c r="O68" i="74"/>
  <c r="H68" i="74"/>
  <c r="E68" i="74"/>
  <c r="S67" i="74"/>
  <c r="O67" i="74"/>
  <c r="H67" i="74"/>
  <c r="S66" i="74"/>
  <c r="O66" i="74"/>
  <c r="H66" i="74"/>
  <c r="E66" i="74"/>
  <c r="S65" i="74"/>
  <c r="O65" i="74"/>
  <c r="H65" i="74"/>
  <c r="E65" i="74"/>
  <c r="S64" i="74"/>
  <c r="H64" i="74"/>
  <c r="S63" i="74"/>
  <c r="H63" i="74"/>
  <c r="S62" i="74"/>
  <c r="O62" i="74"/>
  <c r="H62" i="74"/>
  <c r="E62" i="74"/>
  <c r="S61" i="74"/>
  <c r="O61" i="74"/>
  <c r="H61" i="74"/>
  <c r="E61" i="74"/>
  <c r="S60" i="74"/>
  <c r="O60" i="74"/>
  <c r="H60" i="74"/>
  <c r="S59" i="74"/>
  <c r="O59" i="74"/>
  <c r="H59" i="74"/>
  <c r="E59" i="74"/>
  <c r="S58" i="74"/>
  <c r="O58" i="74"/>
  <c r="H58" i="74"/>
  <c r="E58" i="74"/>
  <c r="S57" i="74"/>
  <c r="O57" i="74"/>
  <c r="H57" i="74"/>
  <c r="E57" i="74"/>
  <c r="S56" i="74"/>
  <c r="O56" i="74"/>
  <c r="H56" i="74"/>
  <c r="S55" i="74"/>
  <c r="O55" i="74"/>
  <c r="H55" i="74"/>
  <c r="S54" i="74"/>
  <c r="O54" i="74"/>
  <c r="H54" i="74"/>
  <c r="E54" i="74"/>
  <c r="S53" i="74"/>
  <c r="O53" i="74"/>
  <c r="H53" i="74"/>
  <c r="S52" i="74"/>
  <c r="O52" i="74"/>
  <c r="H52" i="74"/>
  <c r="S51" i="74"/>
  <c r="O51" i="74"/>
  <c r="H51" i="74"/>
  <c r="E51" i="74"/>
  <c r="S50" i="74"/>
  <c r="O50" i="74"/>
  <c r="H50" i="74"/>
  <c r="E50" i="74"/>
  <c r="S49" i="74"/>
  <c r="O49" i="74"/>
  <c r="H49" i="74"/>
  <c r="S48" i="74"/>
  <c r="O48" i="74"/>
  <c r="H48" i="74"/>
  <c r="E48" i="74"/>
  <c r="S47" i="74"/>
  <c r="O47" i="74"/>
  <c r="H47" i="74"/>
  <c r="S46" i="74"/>
  <c r="O46" i="74"/>
  <c r="H46" i="74"/>
  <c r="S45" i="74"/>
  <c r="O45" i="74"/>
  <c r="H45" i="74"/>
  <c r="S44" i="74"/>
  <c r="O44" i="74"/>
  <c r="H44" i="74"/>
  <c r="E44" i="74"/>
  <c r="S43" i="74"/>
  <c r="O43" i="74"/>
  <c r="H43" i="74"/>
  <c r="S42" i="74"/>
  <c r="O42" i="74"/>
  <c r="H42" i="74"/>
  <c r="S41" i="74"/>
  <c r="O41" i="74"/>
  <c r="H41" i="74"/>
  <c r="S40" i="74"/>
  <c r="O40" i="74"/>
  <c r="H40" i="74"/>
  <c r="S39" i="74"/>
  <c r="O39" i="74"/>
  <c r="H39" i="74"/>
  <c r="E39" i="74"/>
  <c r="S38" i="74"/>
  <c r="O38" i="74"/>
  <c r="H38" i="74"/>
  <c r="S37" i="74"/>
  <c r="O37" i="74"/>
  <c r="H37" i="74"/>
  <c r="S36" i="74"/>
  <c r="O36" i="74"/>
  <c r="H36" i="74"/>
  <c r="E36" i="74"/>
  <c r="S35" i="74"/>
  <c r="O35" i="74"/>
  <c r="H35" i="74"/>
  <c r="S34" i="74"/>
  <c r="H34" i="74"/>
  <c r="E34" i="74"/>
  <c r="S33" i="74"/>
  <c r="H33" i="74"/>
  <c r="E33" i="74"/>
  <c r="S32" i="74"/>
  <c r="O32" i="74"/>
  <c r="H32" i="74"/>
  <c r="S31" i="74"/>
  <c r="O31" i="74"/>
  <c r="H31" i="74"/>
  <c r="E31" i="74"/>
  <c r="S30" i="74"/>
  <c r="O30" i="74"/>
  <c r="H30" i="74"/>
  <c r="S29" i="74"/>
  <c r="O29" i="74"/>
  <c r="H29" i="74"/>
  <c r="S28" i="74"/>
  <c r="O28" i="74"/>
  <c r="H28" i="74"/>
  <c r="E28" i="74"/>
  <c r="S27" i="74"/>
  <c r="O27" i="74"/>
  <c r="H27" i="74"/>
  <c r="E27" i="74"/>
  <c r="S26" i="74"/>
  <c r="O26" i="74"/>
  <c r="H26" i="74"/>
  <c r="E26" i="74"/>
  <c r="S25" i="74"/>
  <c r="O25" i="74"/>
  <c r="H25" i="74"/>
  <c r="E25" i="74"/>
  <c r="S24" i="74"/>
  <c r="O24" i="74"/>
  <c r="H24" i="74"/>
  <c r="S23" i="74"/>
  <c r="O23" i="74"/>
  <c r="H23" i="74"/>
  <c r="E23" i="74"/>
  <c r="S22" i="74"/>
  <c r="O22" i="74"/>
  <c r="H22" i="74"/>
  <c r="E22" i="74"/>
  <c r="S21" i="74"/>
  <c r="O21" i="74"/>
  <c r="H21" i="74"/>
  <c r="E21" i="74"/>
  <c r="S20" i="74"/>
  <c r="O20" i="74"/>
  <c r="H20" i="74"/>
  <c r="S19" i="74"/>
  <c r="O19" i="74"/>
  <c r="H19" i="74"/>
  <c r="E19" i="74"/>
  <c r="S18" i="74"/>
  <c r="O18" i="74"/>
  <c r="H18" i="74"/>
  <c r="E18" i="74"/>
  <c r="S17" i="74"/>
  <c r="O17" i="74"/>
  <c r="H17" i="74"/>
  <c r="E17" i="74"/>
  <c r="S16" i="74"/>
  <c r="O16" i="74"/>
  <c r="H16" i="74"/>
  <c r="S15" i="74"/>
  <c r="O15" i="74"/>
  <c r="H15" i="74"/>
  <c r="E15" i="74"/>
  <c r="S14" i="74"/>
  <c r="O14" i="74"/>
  <c r="H14" i="74"/>
  <c r="E14" i="74"/>
  <c r="S13" i="74"/>
  <c r="O13" i="74"/>
  <c r="H13" i="74"/>
  <c r="S12" i="74"/>
  <c r="O12" i="74"/>
  <c r="H12" i="74"/>
  <c r="S11" i="74"/>
  <c r="O11" i="74"/>
  <c r="H11" i="74"/>
  <c r="E11" i="74"/>
  <c r="P10" i="74"/>
  <c r="L10" i="74"/>
  <c r="K10" i="74"/>
  <c r="J10" i="74"/>
  <c r="I10" i="74"/>
  <c r="S9" i="74"/>
  <c r="R9" i="74"/>
  <c r="P9" i="74"/>
  <c r="L9" i="74"/>
  <c r="K9" i="74"/>
  <c r="J9" i="74"/>
  <c r="I9" i="74"/>
  <c r="H9" i="74"/>
  <c r="E9" i="74"/>
  <c r="D150" i="73"/>
  <c r="D149" i="73"/>
  <c r="D148" i="73"/>
  <c r="D147" i="73"/>
  <c r="D146" i="73"/>
  <c r="D145" i="73"/>
  <c r="D144" i="73"/>
  <c r="D143" i="73"/>
  <c r="H142" i="73"/>
  <c r="F142" i="73" s="1"/>
  <c r="D142" i="73" s="1"/>
  <c r="H141" i="73"/>
  <c r="F141" i="73" s="1"/>
  <c r="D141" i="73" s="1"/>
  <c r="H140" i="73"/>
  <c r="F140" i="73" s="1"/>
  <c r="D140" i="73" s="1"/>
  <c r="H139" i="73"/>
  <c r="F139" i="73" s="1"/>
  <c r="D139" i="73" s="1"/>
  <c r="H138" i="73"/>
  <c r="F138" i="73" s="1"/>
  <c r="D138" i="73" s="1"/>
  <c r="H137" i="73"/>
  <c r="F137" i="73" s="1"/>
  <c r="D137" i="73" s="1"/>
  <c r="H136" i="73"/>
  <c r="F136" i="73" s="1"/>
  <c r="D136" i="73" s="1"/>
  <c r="H135" i="73"/>
  <c r="F135" i="73" s="1"/>
  <c r="D135" i="73" s="1"/>
  <c r="H134" i="73"/>
  <c r="F134" i="73" s="1"/>
  <c r="D134" i="73" s="1"/>
  <c r="H133" i="73"/>
  <c r="F133" i="73" s="1"/>
  <c r="D133" i="73" s="1"/>
  <c r="H132" i="73"/>
  <c r="F132" i="73" s="1"/>
  <c r="D132" i="73" s="1"/>
  <c r="H131" i="73"/>
  <c r="F131" i="73" s="1"/>
  <c r="D131" i="73" s="1"/>
  <c r="H130" i="73"/>
  <c r="F130" i="73" s="1"/>
  <c r="D130" i="73" s="1"/>
  <c r="D129" i="73"/>
  <c r="H128" i="73"/>
  <c r="F128" i="73" s="1"/>
  <c r="D128" i="73" s="1"/>
  <c r="D127" i="73"/>
  <c r="D126" i="73"/>
  <c r="D125" i="73"/>
  <c r="D124" i="73"/>
  <c r="D123" i="73"/>
  <c r="D122" i="73"/>
  <c r="D121" i="73"/>
  <c r="D120" i="73"/>
  <c r="D119" i="73"/>
  <c r="H118" i="73"/>
  <c r="F118" i="73" s="1"/>
  <c r="D118" i="73" s="1"/>
  <c r="D117" i="73"/>
  <c r="D116" i="73"/>
  <c r="D115" i="73"/>
  <c r="D114" i="73"/>
  <c r="D113" i="73"/>
  <c r="H112" i="73"/>
  <c r="F112" i="73" s="1"/>
  <c r="D112" i="73" s="1"/>
  <c r="H111" i="73"/>
  <c r="F111" i="73" s="1"/>
  <c r="D111" i="73" s="1"/>
  <c r="H110" i="73"/>
  <c r="F110" i="73" s="1"/>
  <c r="D110" i="73" s="1"/>
  <c r="H109" i="73"/>
  <c r="F109" i="73" s="1"/>
  <c r="D109" i="73" s="1"/>
  <c r="H108" i="73"/>
  <c r="F108" i="73" s="1"/>
  <c r="D108" i="73" s="1"/>
  <c r="H107" i="73"/>
  <c r="F107" i="73" s="1"/>
  <c r="D107" i="73" s="1"/>
  <c r="H106" i="73"/>
  <c r="F106" i="73" s="1"/>
  <c r="D106" i="73" s="1"/>
  <c r="H105" i="73"/>
  <c r="F105" i="73" s="1"/>
  <c r="D105" i="73" s="1"/>
  <c r="H104" i="73"/>
  <c r="F104" i="73" s="1"/>
  <c r="D104" i="73" s="1"/>
  <c r="H103" i="73"/>
  <c r="F103" i="73" s="1"/>
  <c r="D103" i="73" s="1"/>
  <c r="H102" i="73"/>
  <c r="F102" i="73" s="1"/>
  <c r="D102" i="73" s="1"/>
  <c r="H101" i="73"/>
  <c r="F101" i="73" s="1"/>
  <c r="D101" i="73" s="1"/>
  <c r="H100" i="73"/>
  <c r="F100" i="73" s="1"/>
  <c r="D100" i="73" s="1"/>
  <c r="H99" i="73"/>
  <c r="F99" i="73" s="1"/>
  <c r="D99" i="73" s="1"/>
  <c r="H98" i="73"/>
  <c r="F98" i="73" s="1"/>
  <c r="D98" i="73" s="1"/>
  <c r="H97" i="73"/>
  <c r="F97" i="73" s="1"/>
  <c r="D97" i="73" s="1"/>
  <c r="D96" i="73"/>
  <c r="H95" i="73"/>
  <c r="F95" i="73" s="1"/>
  <c r="D95" i="73" s="1"/>
  <c r="H94" i="73"/>
  <c r="F94" i="73" s="1"/>
  <c r="D94" i="73" s="1"/>
  <c r="H93" i="73"/>
  <c r="F93" i="73" s="1"/>
  <c r="D93" i="73" s="1"/>
  <c r="D92" i="73"/>
  <c r="H91" i="73"/>
  <c r="F91" i="73" s="1"/>
  <c r="D91" i="73" s="1"/>
  <c r="H90" i="73"/>
  <c r="F90" i="73" s="1"/>
  <c r="D90" i="73" s="1"/>
  <c r="H89" i="73"/>
  <c r="F89" i="73" s="1"/>
  <c r="D89" i="73" s="1"/>
  <c r="H88" i="73"/>
  <c r="F88" i="73" s="1"/>
  <c r="D88" i="73" s="1"/>
  <c r="H87" i="73"/>
  <c r="F87" i="73" s="1"/>
  <c r="D87" i="73" s="1"/>
  <c r="H86" i="73"/>
  <c r="F86" i="73" s="1"/>
  <c r="D86" i="73" s="1"/>
  <c r="H85" i="73"/>
  <c r="F85" i="73" s="1"/>
  <c r="D85" i="73" s="1"/>
  <c r="H84" i="73"/>
  <c r="F84" i="73" s="1"/>
  <c r="D84" i="73" s="1"/>
  <c r="H83" i="73"/>
  <c r="F83" i="73" s="1"/>
  <c r="D83" i="73" s="1"/>
  <c r="H82" i="73"/>
  <c r="F82" i="73" s="1"/>
  <c r="D82" i="73" s="1"/>
  <c r="H81" i="73"/>
  <c r="F81" i="73" s="1"/>
  <c r="D81" i="73" s="1"/>
  <c r="H80" i="73"/>
  <c r="F80" i="73" s="1"/>
  <c r="D80" i="73" s="1"/>
  <c r="H79" i="73"/>
  <c r="F79" i="73" s="1"/>
  <c r="D79" i="73" s="1"/>
  <c r="H78" i="73"/>
  <c r="F78" i="73" s="1"/>
  <c r="D78" i="73" s="1"/>
  <c r="H77" i="73"/>
  <c r="F77" i="73" s="1"/>
  <c r="D77" i="73" s="1"/>
  <c r="H76" i="73"/>
  <c r="F76" i="73" s="1"/>
  <c r="D76" i="73" s="1"/>
  <c r="H75" i="73"/>
  <c r="F75" i="73" s="1"/>
  <c r="D75" i="73" s="1"/>
  <c r="H74" i="73"/>
  <c r="F74" i="73" s="1"/>
  <c r="D74" i="73" s="1"/>
  <c r="H73" i="73"/>
  <c r="F73" i="73" s="1"/>
  <c r="D73" i="73" s="1"/>
  <c r="H72" i="73"/>
  <c r="F72" i="73" s="1"/>
  <c r="D72" i="73" s="1"/>
  <c r="H71" i="73"/>
  <c r="F71" i="73" s="1"/>
  <c r="D71" i="73" s="1"/>
  <c r="H70" i="73"/>
  <c r="F70" i="73" s="1"/>
  <c r="D70" i="73" s="1"/>
  <c r="H69" i="73"/>
  <c r="F69" i="73" s="1"/>
  <c r="D69" i="73" s="1"/>
  <c r="H68" i="73"/>
  <c r="F68" i="73" s="1"/>
  <c r="D68" i="73" s="1"/>
  <c r="H67" i="73"/>
  <c r="F67" i="73" s="1"/>
  <c r="D67" i="73" s="1"/>
  <c r="D66" i="73"/>
  <c r="D65" i="73"/>
  <c r="H64" i="73"/>
  <c r="F64" i="73" s="1"/>
  <c r="D64" i="73" s="1"/>
  <c r="H63" i="73"/>
  <c r="F63" i="73" s="1"/>
  <c r="D63" i="73" s="1"/>
  <c r="H62" i="73"/>
  <c r="F62" i="73" s="1"/>
  <c r="D62" i="73" s="1"/>
  <c r="H61" i="73"/>
  <c r="F61" i="73" s="1"/>
  <c r="D61" i="73" s="1"/>
  <c r="H60" i="73"/>
  <c r="F60" i="73" s="1"/>
  <c r="D60" i="73" s="1"/>
  <c r="H59" i="73"/>
  <c r="F59" i="73" s="1"/>
  <c r="D59" i="73" s="1"/>
  <c r="H58" i="73"/>
  <c r="F58" i="73" s="1"/>
  <c r="D58" i="73" s="1"/>
  <c r="H57" i="73"/>
  <c r="F57" i="73" s="1"/>
  <c r="D57" i="73" s="1"/>
  <c r="H56" i="73"/>
  <c r="F56" i="73" s="1"/>
  <c r="D56" i="73" s="1"/>
  <c r="H55" i="73"/>
  <c r="F55" i="73" s="1"/>
  <c r="D55" i="73" s="1"/>
  <c r="H54" i="73"/>
  <c r="F54" i="73" s="1"/>
  <c r="D54" i="73" s="1"/>
  <c r="H53" i="73"/>
  <c r="F53" i="73" s="1"/>
  <c r="D53" i="73" s="1"/>
  <c r="H52" i="73"/>
  <c r="F52" i="73" s="1"/>
  <c r="D52" i="73" s="1"/>
  <c r="H51" i="73"/>
  <c r="F51" i="73" s="1"/>
  <c r="D51" i="73" s="1"/>
  <c r="H50" i="73"/>
  <c r="F50" i="73" s="1"/>
  <c r="D50" i="73" s="1"/>
  <c r="H49" i="73"/>
  <c r="F49" i="73" s="1"/>
  <c r="D49" i="73" s="1"/>
  <c r="H48" i="73"/>
  <c r="F48" i="73" s="1"/>
  <c r="D48" i="73" s="1"/>
  <c r="H47" i="73"/>
  <c r="F47" i="73" s="1"/>
  <c r="D47" i="73" s="1"/>
  <c r="H46" i="73"/>
  <c r="F46" i="73" s="1"/>
  <c r="D46" i="73" s="1"/>
  <c r="H45" i="73"/>
  <c r="F45" i="73" s="1"/>
  <c r="D45" i="73" s="1"/>
  <c r="H44" i="73"/>
  <c r="F44" i="73" s="1"/>
  <c r="D44" i="73" s="1"/>
  <c r="H43" i="73"/>
  <c r="F43" i="73" s="1"/>
  <c r="D43" i="73" s="1"/>
  <c r="H42" i="73"/>
  <c r="F42" i="73" s="1"/>
  <c r="D42" i="73" s="1"/>
  <c r="H41" i="73"/>
  <c r="F41" i="73" s="1"/>
  <c r="D41" i="73" s="1"/>
  <c r="H40" i="73"/>
  <c r="F40" i="73"/>
  <c r="D40" i="73" s="1"/>
  <c r="H39" i="73"/>
  <c r="F39" i="73" s="1"/>
  <c r="D39" i="73" s="1"/>
  <c r="H38" i="73"/>
  <c r="H37" i="73"/>
  <c r="F37" i="73" s="1"/>
  <c r="D37" i="73" s="1"/>
  <c r="F36" i="73"/>
  <c r="D36" i="73" s="1"/>
  <c r="F35" i="73"/>
  <c r="D35" i="73" s="1"/>
  <c r="H34" i="73"/>
  <c r="F34" i="73" s="1"/>
  <c r="D34" i="73" s="1"/>
  <c r="H33" i="73"/>
  <c r="F33" i="73" s="1"/>
  <c r="D33" i="73" s="1"/>
  <c r="H32" i="73"/>
  <c r="F32" i="73" s="1"/>
  <c r="D32" i="73" s="1"/>
  <c r="H31" i="73"/>
  <c r="F31" i="73" s="1"/>
  <c r="D31" i="73" s="1"/>
  <c r="H30" i="73"/>
  <c r="F30" i="73" s="1"/>
  <c r="D30" i="73" s="1"/>
  <c r="H29" i="73"/>
  <c r="F29" i="73" s="1"/>
  <c r="D29" i="73" s="1"/>
  <c r="H28" i="73"/>
  <c r="F28" i="73" s="1"/>
  <c r="D28" i="73" s="1"/>
  <c r="H27" i="73"/>
  <c r="F27" i="73" s="1"/>
  <c r="D27" i="73" s="1"/>
  <c r="H26" i="73"/>
  <c r="F26" i="73" s="1"/>
  <c r="D26" i="73" s="1"/>
  <c r="H25" i="73"/>
  <c r="F25" i="73" s="1"/>
  <c r="D25" i="73" s="1"/>
  <c r="H24" i="73"/>
  <c r="F24" i="73" s="1"/>
  <c r="D24" i="73" s="1"/>
  <c r="H23" i="73"/>
  <c r="F23" i="73" s="1"/>
  <c r="D23" i="73" s="1"/>
  <c r="H22" i="73"/>
  <c r="F22" i="73" s="1"/>
  <c r="D22" i="73" s="1"/>
  <c r="H21" i="73"/>
  <c r="F21" i="73" s="1"/>
  <c r="D21" i="73" s="1"/>
  <c r="H20" i="73"/>
  <c r="F20" i="73" s="1"/>
  <c r="D20" i="73" s="1"/>
  <c r="H19" i="73"/>
  <c r="F19" i="73" s="1"/>
  <c r="D19" i="73" s="1"/>
  <c r="H18" i="73"/>
  <c r="F18" i="73" s="1"/>
  <c r="D18" i="73" s="1"/>
  <c r="H17" i="73"/>
  <c r="F17" i="73" s="1"/>
  <c r="D17" i="73" s="1"/>
  <c r="H16" i="73"/>
  <c r="F16" i="73" s="1"/>
  <c r="D16" i="73" s="1"/>
  <c r="H15" i="73"/>
  <c r="F15" i="73" s="1"/>
  <c r="D15" i="73" s="1"/>
  <c r="H14" i="73"/>
  <c r="F14" i="73" s="1"/>
  <c r="D14" i="73" s="1"/>
  <c r="H13" i="73"/>
  <c r="F13" i="73" s="1"/>
  <c r="D13" i="73" s="1"/>
  <c r="J12" i="73"/>
  <c r="J10" i="73" s="1"/>
  <c r="I12" i="73"/>
  <c r="I10" i="73" s="1"/>
  <c r="G12" i="73"/>
  <c r="G10" i="73" s="1"/>
  <c r="E12" i="73"/>
  <c r="E10" i="73" s="1"/>
  <c r="D11" i="73"/>
  <c r="S149" i="72"/>
  <c r="P149" i="72"/>
  <c r="M149" i="72"/>
  <c r="I149" i="72" s="1"/>
  <c r="E149" i="72"/>
  <c r="S148" i="72"/>
  <c r="P148" i="72"/>
  <c r="M148" i="72"/>
  <c r="I148" i="72" s="1"/>
  <c r="E148" i="72"/>
  <c r="S147" i="72"/>
  <c r="P147" i="72"/>
  <c r="M147" i="72"/>
  <c r="I147" i="72" s="1"/>
  <c r="E147" i="72"/>
  <c r="S146" i="72"/>
  <c r="P146" i="72"/>
  <c r="M146" i="72"/>
  <c r="I146" i="72" s="1"/>
  <c r="E146" i="72"/>
  <c r="S145" i="72"/>
  <c r="P145" i="72"/>
  <c r="M145" i="72"/>
  <c r="I145" i="72" s="1"/>
  <c r="E145" i="72"/>
  <c r="S144" i="72"/>
  <c r="P144" i="72"/>
  <c r="M144" i="72"/>
  <c r="I144" i="72" s="1"/>
  <c r="E144" i="72"/>
  <c r="S143" i="72"/>
  <c r="P143" i="72"/>
  <c r="M143" i="72"/>
  <c r="I143" i="72" s="1"/>
  <c r="E143" i="72"/>
  <c r="S142" i="72"/>
  <c r="P142" i="72"/>
  <c r="M142" i="72"/>
  <c r="I142" i="72" s="1"/>
  <c r="E142" i="72"/>
  <c r="S141" i="72"/>
  <c r="P141" i="72"/>
  <c r="M141" i="72"/>
  <c r="I141" i="72" s="1"/>
  <c r="E141" i="72"/>
  <c r="S140" i="72"/>
  <c r="P140" i="72"/>
  <c r="M140" i="72"/>
  <c r="I140" i="72" s="1"/>
  <c r="E140" i="72"/>
  <c r="S139" i="72"/>
  <c r="P139" i="72"/>
  <c r="M139" i="72"/>
  <c r="I139" i="72" s="1"/>
  <c r="E139" i="72"/>
  <c r="S138" i="72"/>
  <c r="P138" i="72"/>
  <c r="M138" i="72"/>
  <c r="I138" i="72" s="1"/>
  <c r="E138" i="72"/>
  <c r="S137" i="72"/>
  <c r="P137" i="72"/>
  <c r="M137" i="72"/>
  <c r="I137" i="72" s="1"/>
  <c r="E137" i="72"/>
  <c r="S136" i="72"/>
  <c r="P136" i="72"/>
  <c r="M136" i="72"/>
  <c r="I136" i="72" s="1"/>
  <c r="E136" i="72"/>
  <c r="S135" i="72"/>
  <c r="P135" i="72"/>
  <c r="M135" i="72"/>
  <c r="I135" i="72" s="1"/>
  <c r="E135" i="72"/>
  <c r="S134" i="72"/>
  <c r="P134" i="72"/>
  <c r="M134" i="72"/>
  <c r="I134" i="72" s="1"/>
  <c r="E134" i="72"/>
  <c r="S133" i="72"/>
  <c r="P133" i="72"/>
  <c r="M133" i="72"/>
  <c r="I133" i="72" s="1"/>
  <c r="E133" i="72"/>
  <c r="S132" i="72"/>
  <c r="P132" i="72"/>
  <c r="M132" i="72"/>
  <c r="I132" i="72" s="1"/>
  <c r="E132" i="72"/>
  <c r="S131" i="72"/>
  <c r="P131" i="72"/>
  <c r="M131" i="72"/>
  <c r="I131" i="72" s="1"/>
  <c r="E131" i="72"/>
  <c r="S130" i="72"/>
  <c r="P130" i="72"/>
  <c r="M130" i="72"/>
  <c r="I130" i="72" s="1"/>
  <c r="E130" i="72"/>
  <c r="S129" i="72"/>
  <c r="P129" i="72"/>
  <c r="M129" i="72"/>
  <c r="I129" i="72" s="1"/>
  <c r="E129" i="72"/>
  <c r="S128" i="72"/>
  <c r="P128" i="72"/>
  <c r="M128" i="72"/>
  <c r="I128" i="72" s="1"/>
  <c r="E128" i="72"/>
  <c r="S127" i="72"/>
  <c r="P127" i="72"/>
  <c r="M127" i="72"/>
  <c r="I127" i="72" s="1"/>
  <c r="E127" i="72"/>
  <c r="S126" i="72"/>
  <c r="P126" i="72"/>
  <c r="M126" i="72"/>
  <c r="I126" i="72" s="1"/>
  <c r="E126" i="72"/>
  <c r="S125" i="72"/>
  <c r="P125" i="72"/>
  <c r="M125" i="72"/>
  <c r="I125" i="72" s="1"/>
  <c r="E125" i="72"/>
  <c r="S124" i="72"/>
  <c r="P124" i="72"/>
  <c r="M124" i="72"/>
  <c r="I124" i="72" s="1"/>
  <c r="E124" i="72"/>
  <c r="S123" i="72"/>
  <c r="P123" i="72"/>
  <c r="M123" i="72"/>
  <c r="I123" i="72" s="1"/>
  <c r="E123" i="72"/>
  <c r="S122" i="72"/>
  <c r="P122" i="72"/>
  <c r="M122" i="72"/>
  <c r="I122" i="72" s="1"/>
  <c r="E122" i="72"/>
  <c r="S121" i="72"/>
  <c r="P121" i="72"/>
  <c r="M121" i="72"/>
  <c r="I121" i="72" s="1"/>
  <c r="E121" i="72"/>
  <c r="S120" i="72"/>
  <c r="P120" i="72"/>
  <c r="M120" i="72"/>
  <c r="I120" i="72" s="1"/>
  <c r="E120" i="72"/>
  <c r="S119" i="72"/>
  <c r="P119" i="72"/>
  <c r="M119" i="72"/>
  <c r="I119" i="72" s="1"/>
  <c r="E119" i="72"/>
  <c r="S118" i="72"/>
  <c r="P118" i="72"/>
  <c r="M118" i="72"/>
  <c r="I118" i="72" s="1"/>
  <c r="E118" i="72"/>
  <c r="S117" i="72"/>
  <c r="P117" i="72"/>
  <c r="M117" i="72"/>
  <c r="I117" i="72" s="1"/>
  <c r="E117" i="72"/>
  <c r="S116" i="72"/>
  <c r="P116" i="72"/>
  <c r="M116" i="72"/>
  <c r="I116" i="72" s="1"/>
  <c r="E116" i="72"/>
  <c r="S115" i="72"/>
  <c r="P115" i="72"/>
  <c r="M115" i="72"/>
  <c r="I115" i="72" s="1"/>
  <c r="E115" i="72"/>
  <c r="S114" i="72"/>
  <c r="P114" i="72"/>
  <c r="M114" i="72"/>
  <c r="I114" i="72" s="1"/>
  <c r="E114" i="72"/>
  <c r="S113" i="72"/>
  <c r="P113" i="72"/>
  <c r="M113" i="72"/>
  <c r="I113" i="72" s="1"/>
  <c r="E113" i="72"/>
  <c r="S112" i="72"/>
  <c r="P112" i="72"/>
  <c r="M112" i="72"/>
  <c r="I112" i="72" s="1"/>
  <c r="E112" i="72"/>
  <c r="S111" i="72"/>
  <c r="P111" i="72"/>
  <c r="M111" i="72"/>
  <c r="I111" i="72" s="1"/>
  <c r="E111" i="72"/>
  <c r="S110" i="72"/>
  <c r="P110" i="72"/>
  <c r="M110" i="72"/>
  <c r="I110" i="72" s="1"/>
  <c r="E110" i="72"/>
  <c r="S109" i="72"/>
  <c r="P109" i="72"/>
  <c r="M109" i="72"/>
  <c r="I109" i="72" s="1"/>
  <c r="E109" i="72"/>
  <c r="S108" i="72"/>
  <c r="P108" i="72"/>
  <c r="M108" i="72"/>
  <c r="I108" i="72" s="1"/>
  <c r="E108" i="72"/>
  <c r="S107" i="72"/>
  <c r="P107" i="72"/>
  <c r="M107" i="72"/>
  <c r="I107" i="72" s="1"/>
  <c r="E107" i="72"/>
  <c r="S106" i="72"/>
  <c r="P106" i="72"/>
  <c r="M106" i="72"/>
  <c r="I106" i="72" s="1"/>
  <c r="E106" i="72"/>
  <c r="S105" i="72"/>
  <c r="P105" i="72"/>
  <c r="M105" i="72"/>
  <c r="I105" i="72" s="1"/>
  <c r="E105" i="72"/>
  <c r="S104" i="72"/>
  <c r="P104" i="72"/>
  <c r="M104" i="72"/>
  <c r="I104" i="72" s="1"/>
  <c r="E104" i="72"/>
  <c r="S103" i="72"/>
  <c r="P103" i="72"/>
  <c r="M103" i="72"/>
  <c r="I103" i="72" s="1"/>
  <c r="E103" i="72"/>
  <c r="S102" i="72"/>
  <c r="P102" i="72"/>
  <c r="M102" i="72"/>
  <c r="I102" i="72" s="1"/>
  <c r="E102" i="72"/>
  <c r="S101" i="72"/>
  <c r="P101" i="72"/>
  <c r="M101" i="72"/>
  <c r="I101" i="72" s="1"/>
  <c r="E101" i="72"/>
  <c r="S100" i="72"/>
  <c r="P100" i="72"/>
  <c r="M100" i="72"/>
  <c r="I100" i="72" s="1"/>
  <c r="E100" i="72"/>
  <c r="S99" i="72"/>
  <c r="P99" i="72"/>
  <c r="M99" i="72"/>
  <c r="I99" i="72" s="1"/>
  <c r="E99" i="72"/>
  <c r="S98" i="72"/>
  <c r="P98" i="72"/>
  <c r="M98" i="72"/>
  <c r="I98" i="72" s="1"/>
  <c r="E98" i="72"/>
  <c r="S97" i="72"/>
  <c r="P97" i="72"/>
  <c r="M97" i="72"/>
  <c r="I97" i="72" s="1"/>
  <c r="E97" i="72"/>
  <c r="S96" i="72"/>
  <c r="P96" i="72"/>
  <c r="M96" i="72"/>
  <c r="I96" i="72" s="1"/>
  <c r="E96" i="72"/>
  <c r="S95" i="72"/>
  <c r="P95" i="72"/>
  <c r="M95" i="72"/>
  <c r="I95" i="72" s="1"/>
  <c r="E95" i="72"/>
  <c r="S94" i="72"/>
  <c r="P94" i="72"/>
  <c r="M94" i="72"/>
  <c r="I94" i="72" s="1"/>
  <c r="E94" i="72"/>
  <c r="S93" i="72"/>
  <c r="P93" i="72"/>
  <c r="M93" i="72"/>
  <c r="I93" i="72" s="1"/>
  <c r="E93" i="72"/>
  <c r="S92" i="72"/>
  <c r="P92" i="72"/>
  <c r="M92" i="72"/>
  <c r="I92" i="72" s="1"/>
  <c r="E92" i="72"/>
  <c r="S91" i="72"/>
  <c r="P91" i="72"/>
  <c r="M91" i="72"/>
  <c r="I91" i="72" s="1"/>
  <c r="E91" i="72"/>
  <c r="S90" i="72"/>
  <c r="P90" i="72"/>
  <c r="M90" i="72"/>
  <c r="I90" i="72" s="1"/>
  <c r="E90" i="72"/>
  <c r="S89" i="72"/>
  <c r="P89" i="72"/>
  <c r="M89" i="72"/>
  <c r="I89" i="72" s="1"/>
  <c r="E89" i="72"/>
  <c r="S88" i="72"/>
  <c r="P88" i="72"/>
  <c r="M88" i="72"/>
  <c r="I88" i="72" s="1"/>
  <c r="E88" i="72"/>
  <c r="S87" i="72"/>
  <c r="P87" i="72"/>
  <c r="M87" i="72"/>
  <c r="I87" i="72" s="1"/>
  <c r="E87" i="72"/>
  <c r="S86" i="72"/>
  <c r="P86" i="72"/>
  <c r="M86" i="72"/>
  <c r="I86" i="72" s="1"/>
  <c r="E86" i="72"/>
  <c r="S85" i="72"/>
  <c r="P85" i="72"/>
  <c r="M85" i="72"/>
  <c r="E85" i="72"/>
  <c r="S84" i="72"/>
  <c r="P84" i="72"/>
  <c r="M84" i="72"/>
  <c r="I84" i="72" s="1"/>
  <c r="E84" i="72"/>
  <c r="S83" i="72"/>
  <c r="P83" i="72"/>
  <c r="M83" i="72"/>
  <c r="I83" i="72" s="1"/>
  <c r="E83" i="72"/>
  <c r="S82" i="72"/>
  <c r="P82" i="72"/>
  <c r="M82" i="72"/>
  <c r="I82" i="72" s="1"/>
  <c r="E82" i="72"/>
  <c r="S81" i="72"/>
  <c r="P81" i="72"/>
  <c r="M81" i="72"/>
  <c r="I81" i="72" s="1"/>
  <c r="E81" i="72"/>
  <c r="S80" i="72"/>
  <c r="P80" i="72"/>
  <c r="M80" i="72"/>
  <c r="I80" i="72" s="1"/>
  <c r="E80" i="72"/>
  <c r="S79" i="72"/>
  <c r="P79" i="72"/>
  <c r="M79" i="72"/>
  <c r="I79" i="72" s="1"/>
  <c r="E79" i="72"/>
  <c r="S78" i="72"/>
  <c r="P78" i="72"/>
  <c r="M78" i="72"/>
  <c r="I78" i="72" s="1"/>
  <c r="E78" i="72"/>
  <c r="S77" i="72"/>
  <c r="P77" i="72"/>
  <c r="M77" i="72"/>
  <c r="I77" i="72" s="1"/>
  <c r="E77" i="72"/>
  <c r="S76" i="72"/>
  <c r="P76" i="72"/>
  <c r="M76" i="72"/>
  <c r="I76" i="72" s="1"/>
  <c r="E76" i="72"/>
  <c r="S75" i="72"/>
  <c r="P75" i="72"/>
  <c r="I75" i="72"/>
  <c r="E75" i="72"/>
  <c r="S74" i="72"/>
  <c r="P74" i="72"/>
  <c r="M74" i="72"/>
  <c r="I74" i="72" s="1"/>
  <c r="E74" i="72"/>
  <c r="S73" i="72"/>
  <c r="P73" i="72"/>
  <c r="M73" i="72"/>
  <c r="I73" i="72" s="1"/>
  <c r="E73" i="72"/>
  <c r="S72" i="72"/>
  <c r="P72" i="72"/>
  <c r="M72" i="72"/>
  <c r="I72" i="72" s="1"/>
  <c r="E72" i="72"/>
  <c r="S71" i="72"/>
  <c r="P71" i="72"/>
  <c r="M71" i="72"/>
  <c r="I71" i="72" s="1"/>
  <c r="E71" i="72"/>
  <c r="S70" i="72"/>
  <c r="P70" i="72"/>
  <c r="M70" i="72"/>
  <c r="I70" i="72" s="1"/>
  <c r="E70" i="72"/>
  <c r="S69" i="72"/>
  <c r="P69" i="72"/>
  <c r="M69" i="72"/>
  <c r="I69" i="72" s="1"/>
  <c r="E69" i="72"/>
  <c r="S68" i="72"/>
  <c r="P68" i="72"/>
  <c r="M68" i="72"/>
  <c r="I68" i="72" s="1"/>
  <c r="E68" i="72"/>
  <c r="S67" i="72"/>
  <c r="P67" i="72"/>
  <c r="M67" i="72"/>
  <c r="I67" i="72" s="1"/>
  <c r="E67" i="72"/>
  <c r="S66" i="72"/>
  <c r="P66" i="72"/>
  <c r="M66" i="72"/>
  <c r="I66" i="72" s="1"/>
  <c r="E66" i="72"/>
  <c r="S65" i="72"/>
  <c r="P65" i="72"/>
  <c r="M65" i="72"/>
  <c r="I65" i="72" s="1"/>
  <c r="E65" i="72"/>
  <c r="S64" i="72"/>
  <c r="P64" i="72"/>
  <c r="M64" i="72"/>
  <c r="I64" i="72" s="1"/>
  <c r="E64" i="72"/>
  <c r="S63" i="72"/>
  <c r="P63" i="72"/>
  <c r="M63" i="72"/>
  <c r="I63" i="72" s="1"/>
  <c r="E63" i="72"/>
  <c r="S62" i="72"/>
  <c r="P62" i="72"/>
  <c r="M62" i="72"/>
  <c r="I62" i="72" s="1"/>
  <c r="E62" i="72"/>
  <c r="S61" i="72"/>
  <c r="P61" i="72"/>
  <c r="M61" i="72"/>
  <c r="I61" i="72" s="1"/>
  <c r="E61" i="72"/>
  <c r="S60" i="72"/>
  <c r="P60" i="72"/>
  <c r="M60" i="72"/>
  <c r="I60" i="72" s="1"/>
  <c r="E60" i="72"/>
  <c r="S59" i="72"/>
  <c r="P59" i="72"/>
  <c r="M59" i="72"/>
  <c r="I59" i="72" s="1"/>
  <c r="E59" i="72"/>
  <c r="S58" i="72"/>
  <c r="P58" i="72"/>
  <c r="M58" i="72"/>
  <c r="I58" i="72" s="1"/>
  <c r="E58" i="72"/>
  <c r="S57" i="72"/>
  <c r="P57" i="72"/>
  <c r="M57" i="72"/>
  <c r="I57" i="72" s="1"/>
  <c r="E57" i="72"/>
  <c r="S56" i="72"/>
  <c r="P56" i="72"/>
  <c r="M56" i="72"/>
  <c r="I56" i="72" s="1"/>
  <c r="E56" i="72"/>
  <c r="S55" i="72"/>
  <c r="P55" i="72"/>
  <c r="M55" i="72"/>
  <c r="I55" i="72" s="1"/>
  <c r="E55" i="72"/>
  <c r="S54" i="72"/>
  <c r="P54" i="72"/>
  <c r="M54" i="72"/>
  <c r="I54" i="72" s="1"/>
  <c r="E54" i="72"/>
  <c r="S53" i="72"/>
  <c r="P53" i="72"/>
  <c r="M53" i="72"/>
  <c r="I53" i="72" s="1"/>
  <c r="E53" i="72"/>
  <c r="S52" i="72"/>
  <c r="P52" i="72"/>
  <c r="M52" i="72"/>
  <c r="I52" i="72" s="1"/>
  <c r="E52" i="72"/>
  <c r="S51" i="72"/>
  <c r="P51" i="72"/>
  <c r="M51" i="72"/>
  <c r="I51" i="72" s="1"/>
  <c r="E51" i="72"/>
  <c r="S50" i="72"/>
  <c r="P50" i="72"/>
  <c r="M50" i="72"/>
  <c r="I50" i="72" s="1"/>
  <c r="E50" i="72"/>
  <c r="S49" i="72"/>
  <c r="P49" i="72"/>
  <c r="M49" i="72"/>
  <c r="I49" i="72" s="1"/>
  <c r="E49" i="72"/>
  <c r="S48" i="72"/>
  <c r="P48" i="72"/>
  <c r="M48" i="72"/>
  <c r="I48" i="72" s="1"/>
  <c r="E48" i="72"/>
  <c r="S47" i="72"/>
  <c r="P47" i="72"/>
  <c r="M47" i="72"/>
  <c r="I47" i="72" s="1"/>
  <c r="E47" i="72"/>
  <c r="S46" i="72"/>
  <c r="P46" i="72"/>
  <c r="M46" i="72"/>
  <c r="I46" i="72" s="1"/>
  <c r="E46" i="72"/>
  <c r="S45" i="72"/>
  <c r="P45" i="72"/>
  <c r="M45" i="72"/>
  <c r="I45" i="72" s="1"/>
  <c r="E45" i="72"/>
  <c r="S44" i="72"/>
  <c r="P44" i="72"/>
  <c r="M44" i="72"/>
  <c r="I44" i="72" s="1"/>
  <c r="E44" i="72"/>
  <c r="S43" i="72"/>
  <c r="P43" i="72"/>
  <c r="M43" i="72"/>
  <c r="I43" i="72" s="1"/>
  <c r="E43" i="72"/>
  <c r="S42" i="72"/>
  <c r="P42" i="72"/>
  <c r="M42" i="72"/>
  <c r="I42" i="72" s="1"/>
  <c r="E42" i="72"/>
  <c r="S41" i="72"/>
  <c r="P41" i="72"/>
  <c r="M41" i="72"/>
  <c r="I41" i="72" s="1"/>
  <c r="E41" i="72"/>
  <c r="S40" i="72"/>
  <c r="P40" i="72"/>
  <c r="M40" i="72"/>
  <c r="I40" i="72" s="1"/>
  <c r="E40" i="72"/>
  <c r="S39" i="72"/>
  <c r="P39" i="72"/>
  <c r="M39" i="72"/>
  <c r="I39" i="72" s="1"/>
  <c r="E39" i="72"/>
  <c r="S38" i="72"/>
  <c r="P38" i="72"/>
  <c r="M38" i="72"/>
  <c r="I38" i="72" s="1"/>
  <c r="E38" i="72"/>
  <c r="S37" i="72"/>
  <c r="P37" i="72"/>
  <c r="M37" i="72"/>
  <c r="I37" i="72" s="1"/>
  <c r="E37" i="72"/>
  <c r="S36" i="72"/>
  <c r="P36" i="72"/>
  <c r="M36" i="72"/>
  <c r="I36" i="72" s="1"/>
  <c r="E36" i="72"/>
  <c r="S35" i="72"/>
  <c r="P35" i="72"/>
  <c r="M35" i="72"/>
  <c r="I35" i="72" s="1"/>
  <c r="E35" i="72"/>
  <c r="S34" i="72"/>
  <c r="P34" i="72"/>
  <c r="M34" i="72"/>
  <c r="I34" i="72" s="1"/>
  <c r="E34" i="72"/>
  <c r="S33" i="72"/>
  <c r="P33" i="72"/>
  <c r="M33" i="72"/>
  <c r="I33" i="72" s="1"/>
  <c r="E33" i="72"/>
  <c r="S32" i="72"/>
  <c r="P32" i="72"/>
  <c r="M32" i="72"/>
  <c r="I32" i="72" s="1"/>
  <c r="E32" i="72"/>
  <c r="S31" i="72"/>
  <c r="P31" i="72"/>
  <c r="M31" i="72"/>
  <c r="I31" i="72" s="1"/>
  <c r="E31" i="72"/>
  <c r="S30" i="72"/>
  <c r="P30" i="72"/>
  <c r="M30" i="72"/>
  <c r="I30" i="72" s="1"/>
  <c r="E30" i="72"/>
  <c r="S29" i="72"/>
  <c r="P29" i="72"/>
  <c r="M29" i="72"/>
  <c r="I29" i="72" s="1"/>
  <c r="E29" i="72"/>
  <c r="S28" i="72"/>
  <c r="P28" i="72"/>
  <c r="M28" i="72"/>
  <c r="I28" i="72" s="1"/>
  <c r="E28" i="72"/>
  <c r="S27" i="72"/>
  <c r="P27" i="72"/>
  <c r="M27" i="72"/>
  <c r="I27" i="72" s="1"/>
  <c r="E27" i="72"/>
  <c r="S26" i="72"/>
  <c r="P26" i="72"/>
  <c r="M26" i="72"/>
  <c r="I26" i="72" s="1"/>
  <c r="E26" i="72"/>
  <c r="S25" i="72"/>
  <c r="P25" i="72"/>
  <c r="M25" i="72"/>
  <c r="I25" i="72" s="1"/>
  <c r="E25" i="72"/>
  <c r="S24" i="72"/>
  <c r="P24" i="72"/>
  <c r="M24" i="72"/>
  <c r="I24" i="72" s="1"/>
  <c r="E24" i="72"/>
  <c r="S23" i="72"/>
  <c r="P23" i="72"/>
  <c r="M23" i="72"/>
  <c r="I23" i="72" s="1"/>
  <c r="E23" i="72"/>
  <c r="S22" i="72"/>
  <c r="P22" i="72"/>
  <c r="M22" i="72"/>
  <c r="I22" i="72" s="1"/>
  <c r="E22" i="72"/>
  <c r="S21" i="72"/>
  <c r="P21" i="72"/>
  <c r="M21" i="72"/>
  <c r="I21" i="72" s="1"/>
  <c r="E21" i="72"/>
  <c r="S20" i="72"/>
  <c r="P20" i="72"/>
  <c r="M20" i="72"/>
  <c r="I20" i="72" s="1"/>
  <c r="E20" i="72"/>
  <c r="S19" i="72"/>
  <c r="P19" i="72"/>
  <c r="M19" i="72"/>
  <c r="I19" i="72" s="1"/>
  <c r="E19" i="72"/>
  <c r="S18" i="72"/>
  <c r="P18" i="72"/>
  <c r="M18" i="72"/>
  <c r="I18" i="72" s="1"/>
  <c r="E18" i="72"/>
  <c r="S17" i="72"/>
  <c r="P17" i="72"/>
  <c r="M17" i="72"/>
  <c r="I17" i="72" s="1"/>
  <c r="E17" i="72"/>
  <c r="S16" i="72"/>
  <c r="P16" i="72"/>
  <c r="M16" i="72"/>
  <c r="I16" i="72" s="1"/>
  <c r="E16" i="72"/>
  <c r="S15" i="72"/>
  <c r="P15" i="72"/>
  <c r="M15" i="72"/>
  <c r="I15" i="72" s="1"/>
  <c r="E15" i="72"/>
  <c r="S14" i="72"/>
  <c r="P14" i="72"/>
  <c r="M14" i="72"/>
  <c r="I14" i="72" s="1"/>
  <c r="E14" i="72"/>
  <c r="S13" i="72"/>
  <c r="P13" i="72"/>
  <c r="M13" i="72"/>
  <c r="I13" i="72" s="1"/>
  <c r="E13" i="72"/>
  <c r="S12" i="72"/>
  <c r="P12" i="72"/>
  <c r="M12" i="72"/>
  <c r="I12" i="72" s="1"/>
  <c r="E12" i="72"/>
  <c r="W11" i="72"/>
  <c r="W9" i="72" s="1"/>
  <c r="V11" i="72"/>
  <c r="V9" i="72" s="1"/>
  <c r="U11" i="72"/>
  <c r="U9" i="72" s="1"/>
  <c r="T11" i="72"/>
  <c r="T9" i="72" s="1"/>
  <c r="R11" i="72"/>
  <c r="R9" i="72" s="1"/>
  <c r="Q11" i="72"/>
  <c r="Q9" i="72" s="1"/>
  <c r="O11" i="72"/>
  <c r="O9" i="72" s="1"/>
  <c r="N11" i="72"/>
  <c r="N9" i="72" s="1"/>
  <c r="L11" i="72"/>
  <c r="L9" i="72" s="1"/>
  <c r="K11" i="72"/>
  <c r="K9" i="72" s="1"/>
  <c r="J11" i="72"/>
  <c r="J9" i="72" s="1"/>
  <c r="H11" i="72"/>
  <c r="H9" i="72" s="1"/>
  <c r="G11" i="72"/>
  <c r="G9" i="72" s="1"/>
  <c r="F11" i="72"/>
  <c r="S10" i="72"/>
  <c r="I10" i="72"/>
  <c r="E10" i="72"/>
  <c r="D34" i="76" l="1"/>
  <c r="D42" i="76"/>
  <c r="D111" i="76"/>
  <c r="D143" i="76"/>
  <c r="D138" i="74"/>
  <c r="D106" i="72"/>
  <c r="D77" i="76"/>
  <c r="D85" i="76"/>
  <c r="D88" i="76"/>
  <c r="D99" i="76"/>
  <c r="D107" i="76"/>
  <c r="D117" i="76"/>
  <c r="D121" i="76"/>
  <c r="D125" i="76"/>
  <c r="D133" i="76"/>
  <c r="D74" i="74"/>
  <c r="D17" i="76"/>
  <c r="D118" i="76"/>
  <c r="D122" i="76"/>
  <c r="D131" i="76"/>
  <c r="J7" i="76"/>
  <c r="Q10" i="74"/>
  <c r="Q8" i="74" s="1"/>
  <c r="K7" i="76"/>
  <c r="D14" i="76"/>
  <c r="D22" i="76"/>
  <c r="D30" i="76"/>
  <c r="D33" i="76"/>
  <c r="D36" i="76"/>
  <c r="D44" i="76"/>
  <c r="D52" i="76"/>
  <c r="D60" i="76"/>
  <c r="D63" i="76"/>
  <c r="D66" i="76"/>
  <c r="D74" i="76"/>
  <c r="D80" i="76"/>
  <c r="D91" i="76"/>
  <c r="D94" i="76"/>
  <c r="D102" i="76"/>
  <c r="D110" i="76"/>
  <c r="D114" i="76"/>
  <c r="D128" i="76"/>
  <c r="D136" i="76"/>
  <c r="D142" i="76"/>
  <c r="D13" i="72"/>
  <c r="D69" i="74"/>
  <c r="D122" i="74"/>
  <c r="D83" i="74"/>
  <c r="E8" i="76"/>
  <c r="D34" i="74"/>
  <c r="D84" i="76"/>
  <c r="D87" i="76"/>
  <c r="D98" i="76"/>
  <c r="D106" i="76"/>
  <c r="D112" i="76"/>
  <c r="D132" i="76"/>
  <c r="D140" i="76"/>
  <c r="D144" i="76"/>
  <c r="H8" i="76"/>
  <c r="M7" i="76"/>
  <c r="D25" i="76"/>
  <c r="D39" i="76"/>
  <c r="D47" i="76"/>
  <c r="D55" i="76"/>
  <c r="D69" i="76"/>
  <c r="J8" i="74"/>
  <c r="D25" i="74"/>
  <c r="D27" i="74"/>
  <c r="D51" i="74"/>
  <c r="D58" i="74"/>
  <c r="D86" i="74"/>
  <c r="D134" i="74"/>
  <c r="D12" i="76"/>
  <c r="D20" i="76"/>
  <c r="D28" i="76"/>
  <c r="D50" i="76"/>
  <c r="D58" i="76"/>
  <c r="D64" i="76"/>
  <c r="D72" i="76"/>
  <c r="D83" i="76"/>
  <c r="D97" i="76"/>
  <c r="D105" i="76"/>
  <c r="D139" i="76"/>
  <c r="D21" i="74"/>
  <c r="D132" i="74"/>
  <c r="D141" i="74"/>
  <c r="D10" i="76"/>
  <c r="D15" i="76"/>
  <c r="D23" i="76"/>
  <c r="D31" i="76"/>
  <c r="D37" i="76"/>
  <c r="D45" i="76"/>
  <c r="D53" i="76"/>
  <c r="D61" i="76"/>
  <c r="D67" i="76"/>
  <c r="D75" i="76"/>
  <c r="D78" i="76"/>
  <c r="D86" i="76"/>
  <c r="D89" i="76"/>
  <c r="D100" i="76"/>
  <c r="D108" i="76"/>
  <c r="D115" i="76"/>
  <c r="D126" i="76"/>
  <c r="D134" i="76"/>
  <c r="D19" i="74"/>
  <c r="D110" i="74"/>
  <c r="G7" i="76"/>
  <c r="D18" i="76"/>
  <c r="D26" i="76"/>
  <c r="L9" i="76"/>
  <c r="L7" i="76" s="1"/>
  <c r="D40" i="76"/>
  <c r="D48" i="76"/>
  <c r="D56" i="76"/>
  <c r="D70" i="76"/>
  <c r="D81" i="76"/>
  <c r="D92" i="76"/>
  <c r="D95" i="76"/>
  <c r="D103" i="76"/>
  <c r="D119" i="76"/>
  <c r="D123" i="76"/>
  <c r="D129" i="76"/>
  <c r="D137" i="76"/>
  <c r="D15" i="74"/>
  <c r="D61" i="74"/>
  <c r="D66" i="74"/>
  <c r="D82" i="74"/>
  <c r="D97" i="74"/>
  <c r="D77" i="72"/>
  <c r="D113" i="72"/>
  <c r="D76" i="74"/>
  <c r="D104" i="74"/>
  <c r="D135" i="74"/>
  <c r="I7" i="76"/>
  <c r="D16" i="76"/>
  <c r="D24" i="76"/>
  <c r="D32" i="76"/>
  <c r="D38" i="76"/>
  <c r="D46" i="76"/>
  <c r="D54" i="76"/>
  <c r="D62" i="76"/>
  <c r="D68" i="76"/>
  <c r="D79" i="76"/>
  <c r="D101" i="76"/>
  <c r="D109" i="76"/>
  <c r="D116" i="76"/>
  <c r="D120" i="76"/>
  <c r="D124" i="76"/>
  <c r="D127" i="76"/>
  <c r="D135" i="76"/>
  <c r="D97" i="72"/>
  <c r="D109" i="72"/>
  <c r="D33" i="74"/>
  <c r="D48" i="74"/>
  <c r="D126" i="74"/>
  <c r="D11" i="76"/>
  <c r="D19" i="76"/>
  <c r="D27" i="76"/>
  <c r="D41" i="76"/>
  <c r="D49" i="76"/>
  <c r="D57" i="76"/>
  <c r="D71" i="76"/>
  <c r="D82" i="76"/>
  <c r="D93" i="76"/>
  <c r="D96" i="76"/>
  <c r="D104" i="76"/>
  <c r="D113" i="76"/>
  <c r="D130" i="76"/>
  <c r="D138" i="76"/>
  <c r="D141" i="76"/>
  <c r="D145" i="76"/>
  <c r="N7" i="76"/>
  <c r="H9" i="76"/>
  <c r="D84" i="74"/>
  <c r="I8" i="74"/>
  <c r="D37" i="72"/>
  <c r="D72" i="72"/>
  <c r="D75" i="72"/>
  <c r="D78" i="72"/>
  <c r="D119" i="72"/>
  <c r="D108" i="72"/>
  <c r="D126" i="72"/>
  <c r="D70" i="72"/>
  <c r="D15" i="72"/>
  <c r="D56" i="72"/>
  <c r="D142" i="72"/>
  <c r="D148" i="72"/>
  <c r="D36" i="72"/>
  <c r="D24" i="72"/>
  <c r="D27" i="72"/>
  <c r="D58" i="72"/>
  <c r="D145" i="72"/>
  <c r="D41" i="72"/>
  <c r="D61" i="72"/>
  <c r="D125" i="72"/>
  <c r="D137" i="72"/>
  <c r="D25" i="72"/>
  <c r="D39" i="72"/>
  <c r="D42" i="72"/>
  <c r="D82" i="72"/>
  <c r="D34" i="72"/>
  <c r="D94" i="72"/>
  <c r="D100" i="72"/>
  <c r="D51" i="72"/>
  <c r="D89" i="72"/>
  <c r="D29" i="72"/>
  <c r="D40" i="72"/>
  <c r="D63" i="72"/>
  <c r="D101" i="72"/>
  <c r="D38" i="72"/>
  <c r="D46" i="72"/>
  <c r="D110" i="72"/>
  <c r="D130" i="72"/>
  <c r="E9" i="76"/>
  <c r="D90" i="76"/>
  <c r="F9" i="76"/>
  <c r="F7" i="76" s="1"/>
  <c r="D98" i="75"/>
  <c r="D9" i="75" s="1"/>
  <c r="D8" i="75"/>
  <c r="F7" i="75"/>
  <c r="G7" i="75"/>
  <c r="E9" i="75"/>
  <c r="E7" i="75" s="1"/>
  <c r="E13" i="74"/>
  <c r="D13" i="74" s="1"/>
  <c r="E144" i="74"/>
  <c r="D144" i="74" s="1"/>
  <c r="D94" i="74"/>
  <c r="E30" i="74"/>
  <c r="D30" i="74" s="1"/>
  <c r="E88" i="74"/>
  <c r="D88" i="74" s="1"/>
  <c r="D115" i="74"/>
  <c r="D143" i="74"/>
  <c r="E106" i="74"/>
  <c r="D106" i="74" s="1"/>
  <c r="E112" i="74"/>
  <c r="D112" i="74" s="1"/>
  <c r="D44" i="74"/>
  <c r="D81" i="74"/>
  <c r="D96" i="74"/>
  <c r="D102" i="74"/>
  <c r="D140" i="74"/>
  <c r="D11" i="74"/>
  <c r="D14" i="74"/>
  <c r="D23" i="74"/>
  <c r="D26" i="74"/>
  <c r="E75" i="74"/>
  <c r="D75" i="74" s="1"/>
  <c r="D90" i="74"/>
  <c r="E127" i="74"/>
  <c r="D127" i="74" s="1"/>
  <c r="K8" i="74"/>
  <c r="D108" i="74"/>
  <c r="D111" i="74"/>
  <c r="D114" i="74"/>
  <c r="D73" i="74"/>
  <c r="D120" i="74"/>
  <c r="D147" i="74"/>
  <c r="P8" i="74"/>
  <c r="M10" i="74"/>
  <c r="M8" i="74" s="1"/>
  <c r="E40" i="74"/>
  <c r="D40" i="74" s="1"/>
  <c r="E43" i="74"/>
  <c r="D43" i="74" s="1"/>
  <c r="E46" i="74"/>
  <c r="D46" i="74" s="1"/>
  <c r="E52" i="74"/>
  <c r="D52" i="74" s="1"/>
  <c r="E55" i="74"/>
  <c r="D55" i="74" s="1"/>
  <c r="E64" i="74"/>
  <c r="D64" i="74" s="1"/>
  <c r="E92" i="74"/>
  <c r="D92" i="74" s="1"/>
  <c r="E95" i="74"/>
  <c r="D95" i="74" s="1"/>
  <c r="E98" i="74"/>
  <c r="D98" i="74" s="1"/>
  <c r="E117" i="74"/>
  <c r="D117" i="74" s="1"/>
  <c r="E139" i="74"/>
  <c r="D139" i="74" s="1"/>
  <c r="E24" i="74"/>
  <c r="D24" i="74" s="1"/>
  <c r="E49" i="74"/>
  <c r="D49" i="74" s="1"/>
  <c r="E67" i="74"/>
  <c r="D67" i="74" s="1"/>
  <c r="D101" i="74"/>
  <c r="D119" i="74"/>
  <c r="E129" i="74"/>
  <c r="D129" i="74" s="1"/>
  <c r="L8" i="74"/>
  <c r="D17" i="74"/>
  <c r="D36" i="74"/>
  <c r="D39" i="74"/>
  <c r="E70" i="74"/>
  <c r="D70" i="74" s="1"/>
  <c r="E78" i="74"/>
  <c r="D78" i="74" s="1"/>
  <c r="E91" i="74"/>
  <c r="D91" i="74" s="1"/>
  <c r="E136" i="74"/>
  <c r="D136" i="74" s="1"/>
  <c r="E20" i="74"/>
  <c r="D20" i="74" s="1"/>
  <c r="E42" i="74"/>
  <c r="D42" i="74" s="1"/>
  <c r="E45" i="74"/>
  <c r="D45" i="74" s="1"/>
  <c r="H10" i="74"/>
  <c r="H8" i="74" s="1"/>
  <c r="D145" i="74"/>
  <c r="N10" i="74"/>
  <c r="N8" i="74" s="1"/>
  <c r="D85" i="74"/>
  <c r="E100" i="74"/>
  <c r="D100" i="74" s="1"/>
  <c r="E107" i="74"/>
  <c r="D107" i="74" s="1"/>
  <c r="E118" i="74"/>
  <c r="D118" i="74" s="1"/>
  <c r="E125" i="74"/>
  <c r="D125" i="74" s="1"/>
  <c r="E128" i="74"/>
  <c r="D128" i="74" s="1"/>
  <c r="E142" i="74"/>
  <c r="D142" i="74" s="1"/>
  <c r="E148" i="74"/>
  <c r="D148" i="74" s="1"/>
  <c r="D54" i="74"/>
  <c r="D57" i="74"/>
  <c r="D72" i="74"/>
  <c r="O10" i="74"/>
  <c r="E93" i="74"/>
  <c r="D93" i="74" s="1"/>
  <c r="E103" i="74"/>
  <c r="D103" i="74" s="1"/>
  <c r="E121" i="74"/>
  <c r="D121" i="74" s="1"/>
  <c r="E16" i="74"/>
  <c r="D16" i="74" s="1"/>
  <c r="E29" i="74"/>
  <c r="D29" i="74" s="1"/>
  <c r="E32" i="74"/>
  <c r="D32" i="74" s="1"/>
  <c r="E35" i="74"/>
  <c r="D35" i="74" s="1"/>
  <c r="E38" i="74"/>
  <c r="D38" i="74" s="1"/>
  <c r="E60" i="74"/>
  <c r="D60" i="74" s="1"/>
  <c r="E63" i="74"/>
  <c r="D63" i="74" s="1"/>
  <c r="D77" i="74"/>
  <c r="D80" i="74"/>
  <c r="D99" i="74"/>
  <c r="D131" i="74"/>
  <c r="D22" i="74"/>
  <c r="E41" i="74"/>
  <c r="D41" i="74" s="1"/>
  <c r="D50" i="74"/>
  <c r="D65" i="74"/>
  <c r="D68" i="74"/>
  <c r="D89" i="74"/>
  <c r="D113" i="74"/>
  <c r="D124" i="74"/>
  <c r="E130" i="74"/>
  <c r="D130" i="74" s="1"/>
  <c r="E12" i="74"/>
  <c r="D12" i="74" s="1"/>
  <c r="S10" i="74"/>
  <c r="S8" i="74" s="1"/>
  <c r="E47" i="74"/>
  <c r="D47" i="74" s="1"/>
  <c r="E53" i="74"/>
  <c r="D53" i="74" s="1"/>
  <c r="E56" i="74"/>
  <c r="D56" i="74" s="1"/>
  <c r="E71" i="74"/>
  <c r="D71" i="74" s="1"/>
  <c r="D109" i="74"/>
  <c r="D116" i="74"/>
  <c r="F10" i="74"/>
  <c r="F8" i="74" s="1"/>
  <c r="D18" i="74"/>
  <c r="D28" i="74"/>
  <c r="D31" i="74"/>
  <c r="E37" i="74"/>
  <c r="D37" i="74" s="1"/>
  <c r="D59" i="74"/>
  <c r="D62" i="74"/>
  <c r="D79" i="74"/>
  <c r="D105" i="74"/>
  <c r="D123" i="74"/>
  <c r="E137" i="74"/>
  <c r="D137" i="74" s="1"/>
  <c r="R10" i="74"/>
  <c r="R8" i="74" s="1"/>
  <c r="E133" i="74"/>
  <c r="D133" i="74" s="1"/>
  <c r="E146" i="74"/>
  <c r="D146" i="74" s="1"/>
  <c r="O9" i="74"/>
  <c r="G10" i="74"/>
  <c r="G8" i="74" s="1"/>
  <c r="H12" i="73"/>
  <c r="H10" i="73" s="1"/>
  <c r="F38" i="73"/>
  <c r="D118" i="72"/>
  <c r="D22" i="72"/>
  <c r="D83" i="72"/>
  <c r="D131" i="72"/>
  <c r="D19" i="72"/>
  <c r="D49" i="72"/>
  <c r="D57" i="72"/>
  <c r="D79" i="72"/>
  <c r="D87" i="72"/>
  <c r="D92" i="72"/>
  <c r="D127" i="72"/>
  <c r="D135" i="72"/>
  <c r="D140" i="72"/>
  <c r="D59" i="72"/>
  <c r="D117" i="72"/>
  <c r="E11" i="72"/>
  <c r="D14" i="72"/>
  <c r="D16" i="72"/>
  <c r="D32" i="72"/>
  <c r="D62" i="72"/>
  <c r="D84" i="72"/>
  <c r="D132" i="72"/>
  <c r="D105" i="72"/>
  <c r="D45" i="72"/>
  <c r="D55" i="72"/>
  <c r="D80" i="72"/>
  <c r="D115" i="72"/>
  <c r="D123" i="72"/>
  <c r="D128" i="72"/>
  <c r="D47" i="72"/>
  <c r="D12" i="72"/>
  <c r="D20" i="72"/>
  <c r="D50" i="72"/>
  <c r="D52" i="72"/>
  <c r="D64" i="72"/>
  <c r="D90" i="72"/>
  <c r="D120" i="72"/>
  <c r="D138" i="72"/>
  <c r="D17" i="72"/>
  <c r="D30" i="72"/>
  <c r="D35" i="72"/>
  <c r="D60" i="72"/>
  <c r="D68" i="72"/>
  <c r="D73" i="72"/>
  <c r="M11" i="72"/>
  <c r="M9" i="72" s="1"/>
  <c r="D88" i="72"/>
  <c r="D93" i="72"/>
  <c r="D98" i="72"/>
  <c r="D107" i="72"/>
  <c r="D133" i="72"/>
  <c r="D136" i="72"/>
  <c r="D141" i="72"/>
  <c r="D146" i="72"/>
  <c r="D65" i="72"/>
  <c r="D103" i="72"/>
  <c r="D111" i="72"/>
  <c r="D116" i="72"/>
  <c r="D23" i="72"/>
  <c r="D48" i="72"/>
  <c r="D53" i="72"/>
  <c r="D81" i="72"/>
  <c r="D95" i="72"/>
  <c r="D121" i="72"/>
  <c r="D129" i="72"/>
  <c r="D143" i="72"/>
  <c r="D10" i="72"/>
  <c r="P11" i="72"/>
  <c r="P9" i="72" s="1"/>
  <c r="D91" i="72"/>
  <c r="D99" i="72"/>
  <c r="D104" i="72"/>
  <c r="D139" i="72"/>
  <c r="D147" i="72"/>
  <c r="D26" i="72"/>
  <c r="D28" i="72"/>
  <c r="D44" i="72"/>
  <c r="D66" i="72"/>
  <c r="D69" i="72"/>
  <c r="D74" i="72"/>
  <c r="S11" i="72"/>
  <c r="D96" i="72"/>
  <c r="D114" i="72"/>
  <c r="D144" i="72"/>
  <c r="D149" i="72"/>
  <c r="D67" i="72"/>
  <c r="D102" i="72"/>
  <c r="D33" i="72"/>
  <c r="D43" i="72"/>
  <c r="S9" i="72"/>
  <c r="D18" i="72"/>
  <c r="D76" i="72"/>
  <c r="D86" i="72"/>
  <c r="D124" i="72"/>
  <c r="D134" i="72"/>
  <c r="D21" i="72"/>
  <c r="D31" i="72"/>
  <c r="D71" i="72"/>
  <c r="D54" i="72"/>
  <c r="D112" i="72"/>
  <c r="D122" i="72"/>
  <c r="F9" i="72"/>
  <c r="I85" i="72"/>
  <c r="D85" i="72" s="1"/>
  <c r="F90" i="23"/>
  <c r="H7" i="76" l="1"/>
  <c r="D9" i="76"/>
  <c r="D8" i="76"/>
  <c r="D7" i="75"/>
  <c r="E7" i="76"/>
  <c r="I11" i="72"/>
  <c r="I9" i="72" s="1"/>
  <c r="D7" i="76"/>
  <c r="D10" i="74"/>
  <c r="E10" i="74"/>
  <c r="E8" i="74" s="1"/>
  <c r="O8" i="74"/>
  <c r="D9" i="74"/>
  <c r="F10" i="73"/>
  <c r="D10" i="73" s="1"/>
  <c r="F12" i="73"/>
  <c r="D12" i="73" s="1"/>
  <c r="D38" i="73"/>
  <c r="E9" i="72"/>
  <c r="K74" i="26"/>
  <c r="K75" i="26"/>
  <c r="K79" i="26"/>
  <c r="K87" i="26"/>
  <c r="K84" i="26"/>
  <c r="D11" i="72" l="1"/>
  <c r="D9" i="72" s="1"/>
  <c r="D8" i="74"/>
  <c r="E9" i="23" l="1"/>
  <c r="M11" i="55"/>
  <c r="F11" i="55"/>
  <c r="G11" i="55"/>
  <c r="H11" i="55"/>
  <c r="I11" i="55"/>
  <c r="L11" i="55"/>
  <c r="J88" i="55"/>
  <c r="J85" i="55"/>
  <c r="E88" i="55"/>
  <c r="E85" i="55"/>
  <c r="J74" i="55"/>
  <c r="J75" i="55"/>
  <c r="J76" i="55"/>
  <c r="J77" i="55"/>
  <c r="J78" i="55"/>
  <c r="J79" i="55"/>
  <c r="J80" i="55"/>
  <c r="E74" i="55"/>
  <c r="E75" i="55"/>
  <c r="E76" i="55"/>
  <c r="E77" i="55"/>
  <c r="E78" i="55"/>
  <c r="E79" i="55"/>
  <c r="E80" i="55"/>
  <c r="E9" i="27"/>
  <c r="G9" i="27"/>
  <c r="H9" i="27"/>
  <c r="D9" i="27"/>
  <c r="L10" i="26"/>
  <c r="M10" i="26"/>
  <c r="N10" i="26"/>
  <c r="O10" i="26"/>
  <c r="P10" i="26"/>
  <c r="R10" i="26"/>
  <c r="S10" i="26"/>
  <c r="T10" i="26"/>
  <c r="U10" i="26"/>
  <c r="V10" i="26"/>
  <c r="W10" i="26"/>
  <c r="X10" i="26"/>
  <c r="Y10" i="26"/>
  <c r="Q33" i="26"/>
  <c r="Q34" i="26"/>
  <c r="Q35" i="26"/>
  <c r="Q36" i="26"/>
  <c r="Q32" i="26"/>
  <c r="G33" i="26"/>
  <c r="G34" i="26"/>
  <c r="G35" i="26"/>
  <c r="G36" i="26"/>
  <c r="Z34" i="26"/>
  <c r="D10" i="26"/>
  <c r="E10" i="26"/>
  <c r="F10" i="26"/>
  <c r="H10" i="26"/>
  <c r="I10" i="26"/>
  <c r="J10" i="26"/>
  <c r="E9" i="25"/>
  <c r="F9" i="25"/>
  <c r="G9" i="25"/>
  <c r="D9" i="25"/>
  <c r="D9" i="24"/>
  <c r="E9" i="24"/>
  <c r="F9" i="24"/>
  <c r="G9" i="24"/>
  <c r="I9" i="24"/>
  <c r="J9" i="24"/>
  <c r="K9" i="24"/>
  <c r="M9" i="24"/>
  <c r="N9" i="24"/>
  <c r="O9" i="24"/>
  <c r="K35" i="26" l="1"/>
  <c r="K34" i="26"/>
  <c r="D85" i="55"/>
  <c r="D77" i="55"/>
  <c r="D75" i="55"/>
  <c r="D74" i="55"/>
  <c r="D78" i="55"/>
  <c r="D76" i="55"/>
  <c r="D88" i="55"/>
  <c r="D80" i="55"/>
  <c r="D79" i="55"/>
  <c r="G142" i="40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2" i="40"/>
  <c r="H82" i="40" s="1"/>
  <c r="G81" i="40"/>
  <c r="H81" i="40" s="1"/>
  <c r="H79" i="40"/>
  <c r="G78" i="40"/>
  <c r="H78" i="40" s="1"/>
  <c r="I77" i="40"/>
  <c r="G77" i="40"/>
  <c r="H77" i="40" s="1"/>
  <c r="H76" i="40"/>
  <c r="H68" i="40"/>
  <c r="G67" i="40"/>
  <c r="H67" i="40" s="1"/>
  <c r="G66" i="40"/>
  <c r="H66" i="40" s="1"/>
  <c r="G63" i="40"/>
  <c r="H63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I31" i="40"/>
  <c r="F31" i="40"/>
  <c r="E31" i="40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2" i="40" s="1"/>
  <c r="H10" i="40"/>
  <c r="I9" i="40"/>
  <c r="G9" i="40"/>
  <c r="H9" i="40" s="1"/>
  <c r="G8" i="40"/>
  <c r="H8" i="40" s="1"/>
  <c r="F6" i="40"/>
  <c r="D6" i="40"/>
  <c r="I6" i="40" l="1"/>
  <c r="G31" i="40"/>
  <c r="H31" i="40" s="1"/>
  <c r="E6" i="40"/>
  <c r="G6" i="40"/>
  <c r="H32" i="40"/>
  <c r="H6" i="40" s="1"/>
  <c r="L139" i="36" l="1"/>
  <c r="J139" i="36"/>
  <c r="L138" i="36"/>
  <c r="J138" i="36"/>
  <c r="E138" i="36" s="1"/>
  <c r="H130" i="36"/>
  <c r="D130" i="36" s="1"/>
  <c r="L110" i="36"/>
  <c r="J110" i="36"/>
  <c r="G110" i="36"/>
  <c r="L109" i="36"/>
  <c r="J109" i="36"/>
  <c r="E109" i="36" s="1"/>
  <c r="L108" i="36"/>
  <c r="J108" i="36"/>
  <c r="H108" i="36"/>
  <c r="G108" i="36"/>
  <c r="L107" i="36"/>
  <c r="J107" i="36"/>
  <c r="G107" i="36"/>
  <c r="L106" i="36"/>
  <c r="J106" i="36"/>
  <c r="L105" i="36"/>
  <c r="J105" i="36"/>
  <c r="G105" i="36"/>
  <c r="L104" i="36"/>
  <c r="J104" i="36"/>
  <c r="L103" i="36"/>
  <c r="J103" i="36"/>
  <c r="G103" i="36"/>
  <c r="L102" i="36"/>
  <c r="J102" i="36"/>
  <c r="L101" i="36"/>
  <c r="J101" i="36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D92" i="36" s="1"/>
  <c r="N89" i="36"/>
  <c r="L89" i="36"/>
  <c r="J89" i="36"/>
  <c r="D88" i="36"/>
  <c r="O87" i="36"/>
  <c r="G87" i="36" s="1"/>
  <c r="L86" i="36"/>
  <c r="J86" i="36"/>
  <c r="E86" i="36" s="1"/>
  <c r="D85" i="36"/>
  <c r="O84" i="36"/>
  <c r="G84" i="36" s="1"/>
  <c r="L84" i="36"/>
  <c r="J84" i="36"/>
  <c r="L83" i="36"/>
  <c r="J83" i="36"/>
  <c r="L82" i="36"/>
  <c r="J82" i="36"/>
  <c r="L81" i="36"/>
  <c r="J81" i="36"/>
  <c r="G81" i="36"/>
  <c r="N78" i="36"/>
  <c r="E78" i="36" s="1"/>
  <c r="N77" i="36"/>
  <c r="D77" i="36" s="1"/>
  <c r="E76" i="36"/>
  <c r="D76" i="36"/>
  <c r="E75" i="36"/>
  <c r="D75" i="36"/>
  <c r="N74" i="36"/>
  <c r="E74" i="36" s="1"/>
  <c r="L73" i="36"/>
  <c r="J73" i="36"/>
  <c r="L72" i="36"/>
  <c r="J72" i="36"/>
  <c r="L71" i="36"/>
  <c r="J71" i="36"/>
  <c r="E71" i="36" s="1"/>
  <c r="G68" i="36"/>
  <c r="D68" i="36"/>
  <c r="G67" i="36"/>
  <c r="D67" i="36"/>
  <c r="G66" i="36"/>
  <c r="D66" i="36"/>
  <c r="L63" i="36"/>
  <c r="J63" i="36"/>
  <c r="D63" i="36" s="1"/>
  <c r="G63" i="36"/>
  <c r="L62" i="36"/>
  <c r="J62" i="36"/>
  <c r="E62" i="36" s="1"/>
  <c r="G62" i="36"/>
  <c r="L61" i="36"/>
  <c r="J61" i="36"/>
  <c r="G61" i="36"/>
  <c r="L60" i="36"/>
  <c r="J60" i="36"/>
  <c r="G60" i="36"/>
  <c r="L59" i="36"/>
  <c r="J59" i="36"/>
  <c r="G59" i="36"/>
  <c r="L58" i="36"/>
  <c r="J58" i="36"/>
  <c r="D58" i="36" s="1"/>
  <c r="E58" i="36"/>
  <c r="L57" i="36"/>
  <c r="J57" i="36"/>
  <c r="G57" i="36"/>
  <c r="L56" i="36"/>
  <c r="J56" i="36"/>
  <c r="G56" i="36"/>
  <c r="L55" i="36"/>
  <c r="J55" i="36"/>
  <c r="G55" i="36"/>
  <c r="L54" i="36"/>
  <c r="J54" i="36"/>
  <c r="L53" i="36"/>
  <c r="J53" i="36"/>
  <c r="G53" i="36"/>
  <c r="L52" i="36"/>
  <c r="J52" i="36"/>
  <c r="G52" i="36"/>
  <c r="L51" i="36"/>
  <c r="J51" i="36"/>
  <c r="G51" i="36"/>
  <c r="L50" i="36"/>
  <c r="J50" i="36"/>
  <c r="G50" i="36"/>
  <c r="L49" i="36"/>
  <c r="J49" i="36"/>
  <c r="L48" i="36"/>
  <c r="J48" i="36"/>
  <c r="L47" i="36"/>
  <c r="J47" i="36"/>
  <c r="L46" i="36"/>
  <c r="J46" i="36"/>
  <c r="G46" i="36"/>
  <c r="L45" i="36"/>
  <c r="J45" i="36"/>
  <c r="G45" i="36"/>
  <c r="L44" i="36"/>
  <c r="J44" i="36"/>
  <c r="G44" i="36"/>
  <c r="L43" i="36"/>
  <c r="J43" i="36"/>
  <c r="G43" i="36"/>
  <c r="L42" i="36"/>
  <c r="J42" i="36"/>
  <c r="G42" i="36"/>
  <c r="L41" i="36"/>
  <c r="J41" i="36"/>
  <c r="G41" i="36"/>
  <c r="L40" i="36"/>
  <c r="J40" i="36"/>
  <c r="G40" i="36"/>
  <c r="L39" i="36"/>
  <c r="J39" i="36"/>
  <c r="G39" i="36"/>
  <c r="G37" i="36"/>
  <c r="D37" i="36"/>
  <c r="O36" i="36"/>
  <c r="G36" i="36" s="1"/>
  <c r="L36" i="36"/>
  <c r="J36" i="36"/>
  <c r="L33" i="36"/>
  <c r="J33" i="36"/>
  <c r="L32" i="36"/>
  <c r="J32" i="36"/>
  <c r="G32" i="36"/>
  <c r="L31" i="36"/>
  <c r="J31" i="36"/>
  <c r="G31" i="36"/>
  <c r="L30" i="36"/>
  <c r="J30" i="36"/>
  <c r="G30" i="36"/>
  <c r="L29" i="36"/>
  <c r="J29" i="36"/>
  <c r="L28" i="36"/>
  <c r="J28" i="36"/>
  <c r="G28" i="36"/>
  <c r="L27" i="36"/>
  <c r="J27" i="36"/>
  <c r="G27" i="36"/>
  <c r="L26" i="36"/>
  <c r="J26" i="36"/>
  <c r="G26" i="36"/>
  <c r="L25" i="36"/>
  <c r="J25" i="36"/>
  <c r="L23" i="36"/>
  <c r="J23" i="36"/>
  <c r="G23" i="36"/>
  <c r="L22" i="36"/>
  <c r="J22" i="36"/>
  <c r="L21" i="36"/>
  <c r="J21" i="36"/>
  <c r="L20" i="36"/>
  <c r="J20" i="36"/>
  <c r="L19" i="36"/>
  <c r="J19" i="36"/>
  <c r="G19" i="36"/>
  <c r="L18" i="36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L13" i="36"/>
  <c r="J13" i="36"/>
  <c r="G13" i="36"/>
  <c r="L12" i="36"/>
  <c r="J12" i="36"/>
  <c r="E12" i="36" s="1"/>
  <c r="M11" i="36"/>
  <c r="M9" i="36" s="1"/>
  <c r="K11" i="36"/>
  <c r="K9" i="36" s="1"/>
  <c r="I11" i="36"/>
  <c r="I9" i="36" s="1"/>
  <c r="F11" i="36"/>
  <c r="F9" i="36" s="1"/>
  <c r="J10" i="36"/>
  <c r="E81" i="36" l="1"/>
  <c r="E60" i="36"/>
  <c r="E92" i="36"/>
  <c r="D102" i="36"/>
  <c r="E32" i="36"/>
  <c r="D103" i="36"/>
  <c r="E19" i="36"/>
  <c r="E47" i="36"/>
  <c r="E50" i="36"/>
  <c r="E101" i="36"/>
  <c r="E20" i="36"/>
  <c r="D31" i="36"/>
  <c r="D60" i="36"/>
  <c r="D62" i="36"/>
  <c r="D13" i="36"/>
  <c r="D26" i="36"/>
  <c r="D50" i="36"/>
  <c r="E52" i="36"/>
  <c r="D55" i="36"/>
  <c r="D78" i="36"/>
  <c r="E18" i="36"/>
  <c r="D40" i="36"/>
  <c r="D87" i="36"/>
  <c r="D106" i="36"/>
  <c r="E57" i="36"/>
  <c r="E104" i="36"/>
  <c r="D71" i="36"/>
  <c r="D74" i="36"/>
  <c r="E31" i="36"/>
  <c r="E21" i="36"/>
  <c r="E28" i="36"/>
  <c r="D36" i="36"/>
  <c r="E42" i="36"/>
  <c r="E45" i="36"/>
  <c r="E48" i="36"/>
  <c r="E54" i="36"/>
  <c r="E51" i="36"/>
  <c r="O11" i="36"/>
  <c r="O9" i="36" s="1"/>
  <c r="D17" i="36"/>
  <c r="D30" i="36"/>
  <c r="E33" i="36"/>
  <c r="D43" i="36"/>
  <c r="D52" i="36"/>
  <c r="E99" i="36"/>
  <c r="E108" i="36"/>
  <c r="D84" i="36"/>
  <c r="E93" i="36"/>
  <c r="D138" i="36"/>
  <c r="D42" i="36"/>
  <c r="E15" i="36"/>
  <c r="E40" i="36"/>
  <c r="D104" i="36"/>
  <c r="E77" i="36"/>
  <c r="D86" i="36"/>
  <c r="E98" i="36"/>
  <c r="D107" i="36"/>
  <c r="D18" i="36"/>
  <c r="D21" i="36"/>
  <c r="D57" i="36"/>
  <c r="E61" i="36"/>
  <c r="D83" i="36"/>
  <c r="E14" i="36"/>
  <c r="D99" i="36"/>
  <c r="D101" i="36"/>
  <c r="E106" i="36"/>
  <c r="E17" i="36"/>
  <c r="E44" i="36"/>
  <c r="E84" i="36"/>
  <c r="E22" i="36"/>
  <c r="E29" i="36"/>
  <c r="E55" i="36"/>
  <c r="E13" i="36"/>
  <c r="E72" i="36"/>
  <c r="D15" i="36"/>
  <c r="D20" i="36"/>
  <c r="E23" i="36"/>
  <c r="E27" i="36"/>
  <c r="D53" i="36"/>
  <c r="E73" i="36"/>
  <c r="E82" i="36"/>
  <c r="E110" i="36"/>
  <c r="E139" i="36"/>
  <c r="E16" i="36"/>
  <c r="D23" i="36"/>
  <c r="E26" i="36"/>
  <c r="D32" i="36"/>
  <c r="E36" i="36"/>
  <c r="E39" i="36"/>
  <c r="E41" i="36"/>
  <c r="E43" i="36"/>
  <c r="D45" i="36"/>
  <c r="D47" i="36"/>
  <c r="E49" i="36"/>
  <c r="E53" i="36"/>
  <c r="E59" i="36"/>
  <c r="E63" i="36"/>
  <c r="D73" i="36"/>
  <c r="D81" i="36"/>
  <c r="E83" i="36"/>
  <c r="D93" i="36"/>
  <c r="E103" i="36"/>
  <c r="E107" i="36"/>
  <c r="D109" i="36"/>
  <c r="E130" i="36"/>
  <c r="E89" i="36"/>
  <c r="E105" i="36"/>
  <c r="D27" i="36"/>
  <c r="D29" i="36"/>
  <c r="D48" i="36"/>
  <c r="E97" i="36"/>
  <c r="D12" i="36"/>
  <c r="D56" i="36"/>
  <c r="D22" i="36"/>
  <c r="E25" i="36"/>
  <c r="D44" i="36"/>
  <c r="E46" i="36"/>
  <c r="J11" i="36"/>
  <c r="J9" i="36" s="1"/>
  <c r="D98" i="36"/>
  <c r="E102" i="36"/>
  <c r="N11" i="36"/>
  <c r="N9" i="36" s="1"/>
  <c r="L11" i="36"/>
  <c r="L9" i="36" s="1"/>
  <c r="E100" i="36"/>
  <c r="G11" i="36"/>
  <c r="G9" i="36" s="1"/>
  <c r="D61" i="36"/>
  <c r="H11" i="36"/>
  <c r="H9" i="36" s="1"/>
  <c r="D16" i="36"/>
  <c r="D51" i="36"/>
  <c r="D25" i="36"/>
  <c r="E30" i="36"/>
  <c r="D41" i="36"/>
  <c r="E56" i="36"/>
  <c r="D72" i="36"/>
  <c r="D105" i="36"/>
  <c r="D110" i="36"/>
  <c r="D139" i="36"/>
  <c r="D14" i="36"/>
  <c r="D46" i="36"/>
  <c r="D59" i="36"/>
  <c r="D89" i="36"/>
  <c r="D19" i="36"/>
  <c r="D28" i="36"/>
  <c r="D33" i="36"/>
  <c r="D39" i="36"/>
  <c r="D49" i="36"/>
  <c r="D54" i="36"/>
  <c r="D82" i="36"/>
  <c r="D97" i="36"/>
  <c r="D100" i="36"/>
  <c r="D108" i="36"/>
  <c r="D11" i="36" l="1"/>
  <c r="D9" i="36" s="1"/>
  <c r="E11" i="36"/>
  <c r="E9" i="36" s="1"/>
  <c r="G10" i="3" l="1"/>
  <c r="I10" i="3"/>
  <c r="J10" i="3"/>
  <c r="O10" i="3"/>
  <c r="P10" i="3"/>
  <c r="Q10" i="3"/>
  <c r="V77" i="3"/>
  <c r="S77" i="3" s="1"/>
  <c r="N77" i="3"/>
  <c r="K77" i="3"/>
  <c r="V84" i="3"/>
  <c r="S84" i="3" s="1"/>
  <c r="N84" i="3"/>
  <c r="K84" i="3"/>
  <c r="V87" i="3"/>
  <c r="S87" i="3" s="1"/>
  <c r="N87" i="3"/>
  <c r="K87" i="3"/>
  <c r="V75" i="3"/>
  <c r="S75" i="3" s="1"/>
  <c r="N75" i="3"/>
  <c r="K75" i="3"/>
  <c r="V74" i="3"/>
  <c r="S74" i="3" s="1"/>
  <c r="N74" i="3"/>
  <c r="K74" i="3"/>
  <c r="D84" i="3" l="1"/>
  <c r="D75" i="3"/>
  <c r="D74" i="3"/>
  <c r="D77" i="3"/>
  <c r="D87" i="3"/>
  <c r="J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5" i="55"/>
  <c r="E56" i="55"/>
  <c r="E57" i="55"/>
  <c r="E58" i="55"/>
  <c r="E59" i="55"/>
  <c r="E60" i="55"/>
  <c r="E62" i="55"/>
  <c r="E64" i="55"/>
  <c r="E65" i="55"/>
  <c r="E66" i="55"/>
  <c r="E67" i="55"/>
  <c r="E68" i="55"/>
  <c r="E69" i="55"/>
  <c r="E70" i="55"/>
  <c r="E71" i="55"/>
  <c r="E72" i="55"/>
  <c r="E73" i="55"/>
  <c r="E81" i="55"/>
  <c r="E82" i="55"/>
  <c r="E83" i="55"/>
  <c r="E84" i="55"/>
  <c r="E86" i="55"/>
  <c r="E87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54" i="55"/>
  <c r="E103" i="55"/>
  <c r="E104" i="55"/>
  <c r="E105" i="55"/>
  <c r="E106" i="55"/>
  <c r="E107" i="55"/>
  <c r="E108" i="55"/>
  <c r="E109" i="55"/>
  <c r="E61" i="55"/>
  <c r="E110" i="55"/>
  <c r="E63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D12" i="55" l="1"/>
  <c r="E11" i="55"/>
  <c r="H8" i="55"/>
  <c r="D9" i="23" l="1"/>
  <c r="D6" i="23" l="1"/>
  <c r="D8" i="27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5" i="27"/>
  <c r="F77" i="27"/>
  <c r="F78" i="27"/>
  <c r="F79" i="27"/>
  <c r="F80" i="27"/>
  <c r="F81" i="27"/>
  <c r="F82" i="27"/>
  <c r="F84" i="27"/>
  <c r="F85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6" i="27"/>
  <c r="F9" i="27" l="1"/>
  <c r="W76" i="3"/>
  <c r="W73" i="3"/>
  <c r="E83" i="3"/>
  <c r="F83" i="3"/>
  <c r="L83" i="3"/>
  <c r="L10" i="3" s="1"/>
  <c r="M83" i="3"/>
  <c r="U83" i="3"/>
  <c r="W83" i="3"/>
  <c r="X83" i="3"/>
  <c r="E86" i="3"/>
  <c r="F86" i="3"/>
  <c r="L86" i="3"/>
  <c r="M86" i="3"/>
  <c r="R86" i="3"/>
  <c r="T86" i="3"/>
  <c r="T10" i="3" s="1"/>
  <c r="U86" i="3"/>
  <c r="W86" i="3"/>
  <c r="X86" i="3"/>
  <c r="E35" i="3"/>
  <c r="E10" i="3" s="1"/>
  <c r="F35" i="3"/>
  <c r="F10" i="3" s="1"/>
  <c r="M35" i="3"/>
  <c r="R35" i="3"/>
  <c r="R10" i="3" s="1"/>
  <c r="U35" i="3"/>
  <c r="X35" i="3"/>
  <c r="X10" i="3" l="1"/>
  <c r="M10" i="3"/>
  <c r="W10" i="3"/>
  <c r="U10" i="3"/>
  <c r="I136" i="54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0" i="54"/>
  <c r="I89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J142" i="29" l="1"/>
  <c r="J144" i="29" s="1"/>
  <c r="L11" i="66" l="1"/>
  <c r="J11" i="66"/>
  <c r="I11" i="66"/>
  <c r="H11" i="66"/>
  <c r="E11" i="66"/>
  <c r="F11" i="66" l="1"/>
  <c r="I79" i="5" l="1"/>
  <c r="G79" i="5"/>
  <c r="O79" i="5"/>
  <c r="P79" i="5"/>
  <c r="Q79" i="5"/>
  <c r="R79" i="5"/>
  <c r="N79" i="5"/>
  <c r="M79" i="5"/>
  <c r="L79" i="5"/>
  <c r="K79" i="5"/>
  <c r="J79" i="5"/>
  <c r="F9" i="23" l="1"/>
  <c r="F8" i="55" l="1"/>
  <c r="G8" i="55"/>
  <c r="I8" i="55"/>
  <c r="M8" i="55"/>
  <c r="J93" i="55"/>
  <c r="J149" i="55"/>
  <c r="J148" i="55"/>
  <c r="J147" i="55"/>
  <c r="J146" i="55"/>
  <c r="J145" i="55"/>
  <c r="J144" i="55"/>
  <c r="J143" i="55"/>
  <c r="J142" i="55"/>
  <c r="J141" i="55"/>
  <c r="J140" i="55"/>
  <c r="J139" i="55"/>
  <c r="J138" i="55"/>
  <c r="J137" i="55"/>
  <c r="J136" i="55"/>
  <c r="J135" i="55"/>
  <c r="J134" i="55"/>
  <c r="J133" i="55"/>
  <c r="J132" i="55"/>
  <c r="J131" i="55"/>
  <c r="J130" i="55"/>
  <c r="J129" i="55"/>
  <c r="J128" i="55"/>
  <c r="J127" i="55"/>
  <c r="J126" i="55"/>
  <c r="J125" i="55"/>
  <c r="J124" i="55"/>
  <c r="J123" i="55"/>
  <c r="J122" i="55"/>
  <c r="J121" i="55"/>
  <c r="J120" i="55"/>
  <c r="J119" i="55"/>
  <c r="J118" i="55"/>
  <c r="J117" i="55"/>
  <c r="J116" i="55"/>
  <c r="J115" i="55"/>
  <c r="J114" i="55"/>
  <c r="J113" i="55"/>
  <c r="J112" i="55"/>
  <c r="J111" i="55"/>
  <c r="J63" i="55"/>
  <c r="J110" i="55"/>
  <c r="J61" i="55"/>
  <c r="J109" i="55"/>
  <c r="J108" i="55"/>
  <c r="J107" i="55"/>
  <c r="J106" i="55"/>
  <c r="J105" i="55"/>
  <c r="J104" i="55"/>
  <c r="J103" i="55"/>
  <c r="K54" i="55"/>
  <c r="J102" i="55"/>
  <c r="J101" i="55"/>
  <c r="J100" i="55"/>
  <c r="J99" i="55"/>
  <c r="J98" i="55"/>
  <c r="J97" i="55"/>
  <c r="J96" i="55"/>
  <c r="J92" i="55"/>
  <c r="J91" i="55"/>
  <c r="J90" i="55"/>
  <c r="J89" i="55"/>
  <c r="J87" i="55"/>
  <c r="J86" i="55"/>
  <c r="J84" i="55"/>
  <c r="J83" i="55"/>
  <c r="J82" i="55"/>
  <c r="J81" i="55"/>
  <c r="J73" i="55"/>
  <c r="J72" i="55"/>
  <c r="J71" i="55"/>
  <c r="J70" i="55"/>
  <c r="J69" i="55"/>
  <c r="J68" i="55"/>
  <c r="J67" i="55"/>
  <c r="J66" i="55"/>
  <c r="J65" i="55"/>
  <c r="J64" i="55"/>
  <c r="J62" i="55"/>
  <c r="J60" i="55"/>
  <c r="J59" i="55"/>
  <c r="J58" i="55"/>
  <c r="J57" i="55"/>
  <c r="K56" i="55"/>
  <c r="J55" i="55"/>
  <c r="J53" i="55"/>
  <c r="J52" i="55"/>
  <c r="J51" i="55"/>
  <c r="J50" i="55"/>
  <c r="J49" i="55"/>
  <c r="J48" i="55"/>
  <c r="J47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J34" i="55"/>
  <c r="J33" i="55"/>
  <c r="J32" i="55"/>
  <c r="J31" i="55"/>
  <c r="J30" i="55"/>
  <c r="J29" i="55"/>
  <c r="J28" i="55"/>
  <c r="J27" i="55"/>
  <c r="J26" i="55"/>
  <c r="J25" i="55"/>
  <c r="J24" i="55"/>
  <c r="J23" i="55"/>
  <c r="J22" i="55"/>
  <c r="J21" i="55"/>
  <c r="K20" i="55"/>
  <c r="J19" i="55"/>
  <c r="J18" i="55"/>
  <c r="J17" i="55"/>
  <c r="J16" i="55"/>
  <c r="J15" i="55"/>
  <c r="K14" i="55"/>
  <c r="J13" i="55"/>
  <c r="D98" i="55" l="1"/>
  <c r="D60" i="55"/>
  <c r="D121" i="55"/>
  <c r="D133" i="55"/>
  <c r="D65" i="55"/>
  <c r="D63" i="55"/>
  <c r="D122" i="55"/>
  <c r="D134" i="55"/>
  <c r="D146" i="55"/>
  <c r="D62" i="55"/>
  <c r="D123" i="55"/>
  <c r="D135" i="55"/>
  <c r="D147" i="55"/>
  <c r="D84" i="55"/>
  <c r="D16" i="55"/>
  <c r="D87" i="55"/>
  <c r="D81" i="55"/>
  <c r="D110" i="55"/>
  <c r="D137" i="55"/>
  <c r="D47" i="55"/>
  <c r="D52" i="55"/>
  <c r="D55" i="55"/>
  <c r="D69" i="55"/>
  <c r="D90" i="55"/>
  <c r="D104" i="55"/>
  <c r="D114" i="55"/>
  <c r="D126" i="55"/>
  <c r="D138" i="55"/>
  <c r="D48" i="55"/>
  <c r="D105" i="55"/>
  <c r="D28" i="55"/>
  <c r="D70" i="55"/>
  <c r="D57" i="55"/>
  <c r="D82" i="55"/>
  <c r="D15" i="55"/>
  <c r="D68" i="55"/>
  <c r="D31" i="55"/>
  <c r="D33" i="55"/>
  <c r="D58" i="55"/>
  <c r="D72" i="55"/>
  <c r="D107" i="55"/>
  <c r="D117" i="55"/>
  <c r="D24" i="55"/>
  <c r="D39" i="55"/>
  <c r="D67" i="55"/>
  <c r="D115" i="55"/>
  <c r="D22" i="55"/>
  <c r="D97" i="55"/>
  <c r="D108" i="55"/>
  <c r="D130" i="55"/>
  <c r="D142" i="55"/>
  <c r="K11" i="55"/>
  <c r="K8" i="55" s="1"/>
  <c r="D13" i="55"/>
  <c r="D131" i="55"/>
  <c r="D17" i="55"/>
  <c r="D34" i="55"/>
  <c r="D101" i="55"/>
  <c r="D149" i="55"/>
  <c r="D102" i="55"/>
  <c r="D93" i="55"/>
  <c r="D30" i="55"/>
  <c r="D36" i="55"/>
  <c r="D140" i="55"/>
  <c r="D141" i="55"/>
  <c r="L8" i="55"/>
  <c r="J20" i="55"/>
  <c r="D26" i="55"/>
  <c r="D118" i="55"/>
  <c r="D124" i="55"/>
  <c r="D44" i="55"/>
  <c r="D32" i="55"/>
  <c r="D50" i="55"/>
  <c r="D73" i="55"/>
  <c r="D61" i="55"/>
  <c r="D119" i="55"/>
  <c r="J56" i="55"/>
  <c r="J54" i="55"/>
  <c r="D109" i="55"/>
  <c r="D125" i="55"/>
  <c r="D139" i="55"/>
  <c r="D38" i="55"/>
  <c r="D42" i="55"/>
  <c r="D45" i="55"/>
  <c r="D66" i="55"/>
  <c r="D86" i="55"/>
  <c r="D91" i="55"/>
  <c r="D111" i="55"/>
  <c r="D129" i="55"/>
  <c r="D143" i="55"/>
  <c r="D46" i="55"/>
  <c r="D18" i="55"/>
  <c r="D21" i="55"/>
  <c r="D25" i="55"/>
  <c r="D40" i="55"/>
  <c r="D64" i="55"/>
  <c r="D89" i="55"/>
  <c r="D96" i="55"/>
  <c r="D99" i="55"/>
  <c r="D113" i="55"/>
  <c r="D127" i="55"/>
  <c r="D145" i="55"/>
  <c r="D41" i="55"/>
  <c r="D27" i="55"/>
  <c r="D37" i="55"/>
  <c r="D43" i="55"/>
  <c r="D53" i="55"/>
  <c r="D59" i="55"/>
  <c r="D83" i="55"/>
  <c r="D106" i="55"/>
  <c r="D120" i="55"/>
  <c r="D136" i="55"/>
  <c r="D23" i="55"/>
  <c r="D49" i="55"/>
  <c r="D116" i="55"/>
  <c r="D132" i="55"/>
  <c r="D148" i="55"/>
  <c r="D19" i="55"/>
  <c r="D29" i="55"/>
  <c r="D103" i="55"/>
  <c r="E8" i="55"/>
  <c r="J14" i="55"/>
  <c r="D35" i="55"/>
  <c r="D51" i="55"/>
  <c r="D71" i="55"/>
  <c r="D92" i="55"/>
  <c r="D100" i="55"/>
  <c r="D112" i="55"/>
  <c r="D128" i="55"/>
  <c r="D144" i="55"/>
  <c r="D54" i="55" l="1"/>
  <c r="D20" i="55"/>
  <c r="D56" i="55"/>
  <c r="J11" i="55"/>
  <c r="D14" i="55"/>
  <c r="D11" i="55" l="1"/>
  <c r="J8" i="55"/>
  <c r="H37" i="4"/>
  <c r="D8" i="55" l="1"/>
  <c r="H71" i="3"/>
  <c r="H10" i="3" s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8" i="27"/>
  <c r="E8" i="54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L8" i="3" l="1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T142" i="29"/>
  <c r="T144" i="29" s="1"/>
  <c r="O142" i="29"/>
  <c r="O144" i="29" s="1"/>
  <c r="L142" i="29"/>
  <c r="L144" i="29" s="1"/>
  <c r="H142" i="29"/>
  <c r="H144" i="29" s="1"/>
  <c r="V143" i="29" l="1"/>
  <c r="X143" i="29" s="1"/>
  <c r="S142" i="29"/>
  <c r="S144" i="29" s="1"/>
  <c r="U142" i="29"/>
  <c r="U144" i="29" s="1"/>
  <c r="M142" i="29"/>
  <c r="M144" i="29" s="1"/>
  <c r="I142" i="29"/>
  <c r="I144" i="29" s="1"/>
  <c r="Q142" i="29"/>
  <c r="Q144" i="29" s="1"/>
  <c r="K142" i="29"/>
  <c r="K144" i="29" s="1"/>
  <c r="R142" i="29"/>
  <c r="R144" i="29" s="1"/>
  <c r="G142" i="29"/>
  <c r="G144" i="29" s="1"/>
  <c r="P142" i="29"/>
  <c r="P144" i="29" s="1"/>
  <c r="E142" i="29"/>
  <c r="E144" i="29" s="1"/>
  <c r="H6" i="27"/>
  <c r="E6" i="27"/>
  <c r="D6" i="27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78" i="26"/>
  <c r="G86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G71" i="26"/>
  <c r="G72" i="26"/>
  <c r="G73" i="26"/>
  <c r="G76" i="26"/>
  <c r="G77" i="26"/>
  <c r="G80" i="26"/>
  <c r="G81" i="26"/>
  <c r="G82" i="26"/>
  <c r="G83" i="26"/>
  <c r="G85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65" i="26"/>
  <c r="K52" i="26"/>
  <c r="K39" i="26"/>
  <c r="K26" i="26"/>
  <c r="K13" i="26"/>
  <c r="K128" i="26"/>
  <c r="K86" i="26"/>
  <c r="K93" i="26"/>
  <c r="K122" i="26"/>
  <c r="K37" i="26"/>
  <c r="K105" i="26"/>
  <c r="K90" i="26"/>
  <c r="K73" i="26"/>
  <c r="K62" i="26"/>
  <c r="K49" i="26"/>
  <c r="K23" i="26"/>
  <c r="K143" i="26"/>
  <c r="K124" i="26"/>
  <c r="K78" i="26"/>
  <c r="K106" i="26"/>
  <c r="K121" i="26"/>
  <c r="K120" i="26"/>
  <c r="K104" i="26"/>
  <c r="K89" i="26"/>
  <c r="K72" i="26"/>
  <c r="K61" i="26"/>
  <c r="K48" i="26"/>
  <c r="K36" i="26"/>
  <c r="K22" i="26"/>
  <c r="K142" i="26"/>
  <c r="K123" i="26"/>
  <c r="K55" i="26"/>
  <c r="K107" i="26"/>
  <c r="K118" i="26"/>
  <c r="K102" i="26"/>
  <c r="K88" i="26"/>
  <c r="K71" i="26"/>
  <c r="K60" i="26"/>
  <c r="K47" i="26"/>
  <c r="K21" i="26"/>
  <c r="K140" i="26"/>
  <c r="K119" i="26"/>
  <c r="K43" i="26"/>
  <c r="K38" i="26"/>
  <c r="K63" i="26"/>
  <c r="K145" i="26"/>
  <c r="K117" i="26"/>
  <c r="K101" i="26"/>
  <c r="K85" i="26"/>
  <c r="K70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3" i="26"/>
  <c r="K69" i="26"/>
  <c r="K58" i="26"/>
  <c r="K45" i="26"/>
  <c r="K32" i="26"/>
  <c r="K18" i="26"/>
  <c r="K138" i="26"/>
  <c r="K112" i="26"/>
  <c r="K19" i="26"/>
  <c r="K77" i="26"/>
  <c r="K125" i="26"/>
  <c r="K134" i="26"/>
  <c r="K114" i="26"/>
  <c r="K98" i="26"/>
  <c r="K82" i="26"/>
  <c r="K68" i="26"/>
  <c r="K57" i="26"/>
  <c r="K44" i="26"/>
  <c r="K30" i="26"/>
  <c r="K17" i="26"/>
  <c r="K137" i="26"/>
  <c r="K111" i="26"/>
  <c r="K12" i="26"/>
  <c r="K76" i="26"/>
  <c r="K133" i="26"/>
  <c r="K113" i="26"/>
  <c r="K97" i="26"/>
  <c r="K81" i="26"/>
  <c r="K56" i="26"/>
  <c r="K42" i="26"/>
  <c r="K29" i="26"/>
  <c r="K16" i="26"/>
  <c r="K136" i="26"/>
  <c r="K103" i="26"/>
  <c r="K64" i="26"/>
  <c r="K144" i="26"/>
  <c r="K132" i="26"/>
  <c r="K110" i="26"/>
  <c r="K96" i="26"/>
  <c r="K80" i="26"/>
  <c r="K67" i="26"/>
  <c r="K54" i="26"/>
  <c r="K41" i="26"/>
  <c r="K28" i="26"/>
  <c r="K15" i="26"/>
  <c r="K135" i="26"/>
  <c r="K99" i="26"/>
  <c r="K127" i="26"/>
  <c r="K92" i="26"/>
  <c r="K130" i="26"/>
  <c r="K109" i="26"/>
  <c r="K95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6" i="26"/>
  <c r="Q86" i="26"/>
  <c r="Z85" i="26"/>
  <c r="Q85" i="26"/>
  <c r="Z83" i="26"/>
  <c r="Q83" i="26"/>
  <c r="Z82" i="26"/>
  <c r="Q82" i="26"/>
  <c r="Z81" i="26"/>
  <c r="Q81" i="26"/>
  <c r="Z80" i="26"/>
  <c r="Q80" i="26"/>
  <c r="Z78" i="26"/>
  <c r="Q78" i="26"/>
  <c r="Z77" i="26"/>
  <c r="Q77" i="26"/>
  <c r="Z76" i="26"/>
  <c r="Q76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Z35" i="26"/>
  <c r="Z33" i="26"/>
  <c r="Z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7" i="26"/>
  <c r="N7" i="26"/>
  <c r="M7" i="26"/>
  <c r="J7" i="26"/>
  <c r="I7" i="26"/>
  <c r="F7" i="26"/>
  <c r="E7" i="26"/>
  <c r="D7" i="26"/>
  <c r="D6" i="25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6" i="25"/>
  <c r="H68" i="25"/>
  <c r="H71" i="25"/>
  <c r="H77" i="25"/>
  <c r="H80" i="25"/>
  <c r="H84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5" i="25"/>
  <c r="H82" i="25"/>
  <c r="H81" i="25"/>
  <c r="H79" i="25"/>
  <c r="H78" i="25"/>
  <c r="H75" i="25"/>
  <c r="H72" i="25"/>
  <c r="H70" i="25"/>
  <c r="H69" i="25"/>
  <c r="H67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5" i="24"/>
  <c r="P77" i="24"/>
  <c r="P78" i="24"/>
  <c r="P79" i="24"/>
  <c r="P80" i="24"/>
  <c r="P81" i="24"/>
  <c r="P82" i="24"/>
  <c r="P84" i="24"/>
  <c r="P85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6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5" i="24"/>
  <c r="L77" i="24"/>
  <c r="L78" i="24"/>
  <c r="L79" i="24"/>
  <c r="L80" i="24"/>
  <c r="L81" i="24"/>
  <c r="L82" i="24"/>
  <c r="L84" i="24"/>
  <c r="L85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6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5" i="24"/>
  <c r="H77" i="24"/>
  <c r="H78" i="24"/>
  <c r="H79" i="24"/>
  <c r="H80" i="24"/>
  <c r="H81" i="24"/>
  <c r="H82" i="24"/>
  <c r="H84" i="24"/>
  <c r="H85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6" i="24"/>
  <c r="H7" i="24"/>
  <c r="L7" i="24"/>
  <c r="P7" i="24"/>
  <c r="H9" i="24" l="1"/>
  <c r="P9" i="24"/>
  <c r="P6" i="24" s="1"/>
  <c r="L9" i="24"/>
  <c r="Q146" i="26"/>
  <c r="Q10" i="26" s="1"/>
  <c r="P7" i="26"/>
  <c r="E6" i="25"/>
  <c r="F6" i="25"/>
  <c r="G6" i="25"/>
  <c r="H10" i="25"/>
  <c r="N6" i="24"/>
  <c r="O6" i="24"/>
  <c r="J6" i="24"/>
  <c r="K6" i="24"/>
  <c r="D6" i="24"/>
  <c r="F6" i="24"/>
  <c r="G6" i="24"/>
  <c r="E6" i="23"/>
  <c r="L6" i="24" l="1"/>
  <c r="H6" i="24"/>
  <c r="H9" i="25"/>
  <c r="H6" i="25" s="1"/>
  <c r="Q7" i="26"/>
  <c r="F6" i="23"/>
  <c r="R7" i="26" l="1"/>
  <c r="T7" i="26" l="1"/>
  <c r="S7" i="26"/>
  <c r="Z147" i="26"/>
  <c r="Z148" i="26" l="1"/>
  <c r="U7" i="26"/>
  <c r="Z146" i="26" l="1"/>
  <c r="Z10" i="26" s="1"/>
  <c r="V7" i="26" l="1"/>
  <c r="W7" i="26" l="1"/>
  <c r="Y7" i="26"/>
  <c r="Z7" i="26" l="1"/>
  <c r="X7" i="26"/>
  <c r="H39" i="5" l="1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8" i="3"/>
  <c r="E8" i="3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6" i="3"/>
  <c r="K78" i="3"/>
  <c r="K79" i="3"/>
  <c r="K80" i="3"/>
  <c r="K81" i="3"/>
  <c r="K82" i="3"/>
  <c r="K83" i="3"/>
  <c r="K85" i="3"/>
  <c r="K86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K10" i="3" l="1"/>
  <c r="K8" i="3" s="1"/>
  <c r="V148" i="3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6" i="3"/>
  <c r="S86" i="3" s="1"/>
  <c r="N86" i="3"/>
  <c r="V85" i="3"/>
  <c r="S85" i="3" s="1"/>
  <c r="N85" i="3"/>
  <c r="V83" i="3"/>
  <c r="S83" i="3" s="1"/>
  <c r="N83" i="3"/>
  <c r="V82" i="3"/>
  <c r="S82" i="3" s="1"/>
  <c r="N82" i="3"/>
  <c r="V81" i="3"/>
  <c r="S81" i="3" s="1"/>
  <c r="N81" i="3"/>
  <c r="X8" i="3"/>
  <c r="V80" i="3"/>
  <c r="S80" i="3" s="1"/>
  <c r="N80" i="3"/>
  <c r="V79" i="3"/>
  <c r="S79" i="3" s="1"/>
  <c r="N79" i="3"/>
  <c r="V78" i="3"/>
  <c r="N78" i="3"/>
  <c r="V76" i="3"/>
  <c r="S76" i="3" s="1"/>
  <c r="N76" i="3"/>
  <c r="V73" i="3"/>
  <c r="S73" i="3" s="1"/>
  <c r="N73" i="3"/>
  <c r="V72" i="3"/>
  <c r="S72" i="3" s="1"/>
  <c r="N72" i="3"/>
  <c r="H8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8" i="3"/>
  <c r="T8" i="3"/>
  <c r="Q8" i="3"/>
  <c r="P8" i="3"/>
  <c r="O8" i="3"/>
  <c r="J8" i="3"/>
  <c r="I8" i="3"/>
  <c r="G8" i="3"/>
  <c r="U1" i="3"/>
  <c r="N10" i="3" l="1"/>
  <c r="S78" i="3"/>
  <c r="D86" i="3"/>
  <c r="D103" i="3"/>
  <c r="D129" i="3"/>
  <c r="D115" i="3"/>
  <c r="D81" i="3"/>
  <c r="D119" i="3"/>
  <c r="D85" i="3"/>
  <c r="D90" i="3"/>
  <c r="D94" i="3"/>
  <c r="D98" i="3"/>
  <c r="D102" i="3"/>
  <c r="D106" i="3"/>
  <c r="D126" i="3"/>
  <c r="D21" i="3"/>
  <c r="D29" i="3"/>
  <c r="D123" i="3"/>
  <c r="D134" i="3"/>
  <c r="D76" i="3"/>
  <c r="D20" i="3"/>
  <c r="D24" i="3"/>
  <c r="D28" i="3"/>
  <c r="D32" i="3"/>
  <c r="D36" i="3"/>
  <c r="D15" i="3"/>
  <c r="D66" i="3"/>
  <c r="D68" i="3"/>
  <c r="D71" i="3"/>
  <c r="D82" i="3"/>
  <c r="D92" i="3"/>
  <c r="D100" i="3"/>
  <c r="D148" i="3"/>
  <c r="D48" i="3"/>
  <c r="D52" i="3"/>
  <c r="D56" i="3"/>
  <c r="D18" i="3"/>
  <c r="D22" i="3"/>
  <c r="D26" i="3"/>
  <c r="D30" i="3"/>
  <c r="D67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3" i="3"/>
  <c r="D99" i="3"/>
  <c r="D135" i="3"/>
  <c r="D147" i="3"/>
  <c r="D37" i="3"/>
  <c r="D59" i="3"/>
  <c r="D44" i="3"/>
  <c r="D136" i="3"/>
  <c r="D41" i="3"/>
  <c r="D60" i="3"/>
  <c r="D63" i="3"/>
  <c r="D128" i="3"/>
  <c r="D19" i="3"/>
  <c r="D23" i="3"/>
  <c r="D27" i="3"/>
  <c r="D31" i="3"/>
  <c r="D35" i="3"/>
  <c r="D45" i="3"/>
  <c r="D49" i="3"/>
  <c r="D57" i="3"/>
  <c r="D69" i="3"/>
  <c r="D72" i="3"/>
  <c r="D80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78" i="3"/>
  <c r="D133" i="3"/>
  <c r="D25" i="3"/>
  <c r="D34" i="3"/>
  <c r="D40" i="3"/>
  <c r="D79" i="3"/>
  <c r="D88" i="3"/>
  <c r="D96" i="3"/>
  <c r="D104" i="3"/>
  <c r="D144" i="3"/>
  <c r="D64" i="3"/>
  <c r="D61" i="3"/>
  <c r="D83" i="3"/>
  <c r="D89" i="3"/>
  <c r="D93" i="3"/>
  <c r="D97" i="3"/>
  <c r="D101" i="3"/>
  <c r="D105" i="3"/>
  <c r="D109" i="3"/>
  <c r="D113" i="3"/>
  <c r="D145" i="3"/>
  <c r="D14" i="3"/>
  <c r="D17" i="3"/>
  <c r="D65" i="3"/>
  <c r="D70" i="3"/>
  <c r="D125" i="3"/>
  <c r="V11" i="3"/>
  <c r="V10" i="3" s="1"/>
  <c r="N8" i="3"/>
  <c r="W8" i="3"/>
  <c r="R8" i="3"/>
  <c r="S11" i="3" l="1"/>
  <c r="V8" i="3"/>
  <c r="S10" i="3" l="1"/>
  <c r="S8" i="3" s="1"/>
  <c r="D11" i="3"/>
  <c r="D10" i="3" s="1"/>
  <c r="D8" i="3" l="1"/>
  <c r="G147" i="26" l="1"/>
  <c r="H7" i="26"/>
  <c r="G148" i="26"/>
  <c r="G146" i="26"/>
  <c r="G10" i="26" l="1"/>
  <c r="G7" i="26" s="1"/>
  <c r="K146" i="26"/>
  <c r="K148" i="26"/>
  <c r="K147" i="26"/>
  <c r="L7" i="26"/>
  <c r="K10" i="26" l="1"/>
  <c r="K7" i="26" l="1"/>
</calcChain>
</file>

<file path=xl/sharedStrings.xml><?xml version="1.0" encoding="utf-8"?>
<sst xmlns="http://schemas.openxmlformats.org/spreadsheetml/2006/main" count="7360" uniqueCount="804">
  <si>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</si>
  <si>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</si>
  <si>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</si>
  <si>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</si>
  <si>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</si>
  <si>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</si>
  <si>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</si>
  <si>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</si>
  <si>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</si>
  <si>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</si>
  <si>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</si>
  <si>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</si>
  <si>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</si>
  <si>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</si>
  <si>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</si>
  <si>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</si>
  <si>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</si>
  <si>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</si>
  <si>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</si>
  <si>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</si>
  <si>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</si>
  <si>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</si>
  <si>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</si>
  <si>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</si>
  <si>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</si>
  <si>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</si>
  <si>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</si>
  <si>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</si>
  <si>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</si>
  <si>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</si>
  <si>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</si>
  <si>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</si>
  <si>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</si>
  <si>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</si>
  <si>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</si>
  <si>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</si>
  <si>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</si>
  <si>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</si>
  <si>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</si>
  <si>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</si>
  <si>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</si>
  <si>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</si>
  <si>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</si>
  <si>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</si>
  <si>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</si>
  <si>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</si>
  <si>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</si>
  <si>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</si>
  <si>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</si>
  <si>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</si>
  <si>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</si>
  <si>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</si>
  <si>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</si>
  <si>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</si>
  <si>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</si>
  <si>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</si>
  <si>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</si>
  <si>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</si>
  <si>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</si>
  <si>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</si>
  <si>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</si>
  <si>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</si>
  <si>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</si>
  <si>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</si>
  <si>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</si>
  <si>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</si>
  <si>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</si>
  <si>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</si>
  <si>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</si>
  <si>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</si>
  <si>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</si>
  <si>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</si>
  <si>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</si>
  <si>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</si>
  <si>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</si>
  <si>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</si>
  <si>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</si>
  <si>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</si>
  <si>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</si>
  <si>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</si>
  <si>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</si>
  <si>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</si>
  <si>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</si>
  <si>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</si>
  <si>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</si>
  <si>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</si>
  <si>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</si>
  <si>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</si>
  <si>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</si>
  <si>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</si>
  <si>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</si>
  <si>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</si>
  <si>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</si>
  <si>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</si>
  <si>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</si>
  <si>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</si>
  <si>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</si>
  <si>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</si>
  <si>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</si>
  <si>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</si>
  <si>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</si>
  <si>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</si>
  <si>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</si>
  <si>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</si>
  <si>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</si>
  <si>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</si>
  <si>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</si>
  <si>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</si>
  <si>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</si>
  <si>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</si>
  <si>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</si>
  <si>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</si>
  <si>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</si>
  <si>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</si>
  <si>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</si>
  <si>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</si>
  <si>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</si>
  <si>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</si>
  <si>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</si>
  <si>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</si>
  <si>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</si>
  <si>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</si>
  <si>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</si>
  <si>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</si>
  <si>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</si>
  <si>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</si>
  <si>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</si>
  <si>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</si>
  <si>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</si>
  <si>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</si>
  <si>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</si>
  <si>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</si>
  <si>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</si>
  <si>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</si>
  <si>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</si>
  <si>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</si>
  <si>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</si>
  <si>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</si>
  <si>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</si>
  <si>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</si>
  <si>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</si>
  <si>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</si>
  <si>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</si>
  <si>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</si>
  <si>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</si>
  <si>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</si>
  <si>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</si>
  <si>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</si>
  <si>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</si>
  <si>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</si>
  <si>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</si>
  <si>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</si>
  <si>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</si>
  <si>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</si>
  <si>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</si>
  <si>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</si>
  <si>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</si>
  <si>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</si>
  <si>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</si>
  <si>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</si>
  <si>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</si>
  <si>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</si>
  <si>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</si>
  <si>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</si>
  <si>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</si>
  <si>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</si>
  <si>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</si>
  <si>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</si>
  <si>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</si>
  <si>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</si>
  <si>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</si>
  <si>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</si>
  <si>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</si>
  <si>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</si>
  <si>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</si>
  <si>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</si>
  <si>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</si>
  <si>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</si>
  <si>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</si>
  <si>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</si>
  <si>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</si>
  <si>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</si>
  <si>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</si>
  <si>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</si>
  <si>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</si>
  <si>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</si>
  <si>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</si>
  <si>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</si>
  <si>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</si>
  <si>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</si>
  <si>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</si>
  <si>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</si>
  <si>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</si>
  <si>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</si>
  <si>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</si>
  <si>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</si>
  <si>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</si>
  <si>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</si>
  <si>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</si>
  <si>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</si>
  <si>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</si>
  <si>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</si>
  <si>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</si>
  <si>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</si>
  <si>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</si>
  <si>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</si>
  <si>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</si>
  <si>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</si>
  <si>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</si>
  <si>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</si>
  <si>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</si>
  <si>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</si>
  <si>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</si>
  <si>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</si>
  <si>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</si>
  <si>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</si>
  <si>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</si>
  <si>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</si>
  <si>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</si>
  <si>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</si>
  <si>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</si>
  <si>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</si>
  <si>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</si>
  <si>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</si>
  <si>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</si>
  <si>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</si>
  <si>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</si>
  <si>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</si>
  <si>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</si>
  <si>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</si>
  <si>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</si>
  <si>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</si>
  <si>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</si>
  <si>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</si>
  <si>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</si>
  <si>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</si>
  <si>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</si>
  <si>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</si>
  <si>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</si>
  <si>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</si>
  <si>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</si>
  <si>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</si>
  <si>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</si>
  <si>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</si>
  <si>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</si>
  <si>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</si>
  <si>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</si>
  <si>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</si>
  <si>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</si>
  <si>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</si>
  <si>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</si>
  <si>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</si>
  <si>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</si>
  <si>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</si>
  <si>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</si>
  <si>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</si>
  <si>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</si>
  <si>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</si>
  <si>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</si>
  <si>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</si>
  <si>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</si>
  <si>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</si>
  <si>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</si>
  <si>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</si>
  <si>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</si>
  <si>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</si>
  <si>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</si>
  <si>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</si>
  <si>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</si>
  <si>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</si>
  <si>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</si>
  <si>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</si>
  <si>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</si>
  <si>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</si>
  <si>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</si>
  <si>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</si>
  <si>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</si>
  <si>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</si>
  <si>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</si>
  <si>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</si>
  <si>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</si>
  <si>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</si>
  <si>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</si>
  <si>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</si>
  <si>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</si>
  <si>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</si>
  <si>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</si>
  <si>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</si>
  <si>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</si>
  <si>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</si>
  <si>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</si>
  <si>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</si>
  <si>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</si>
  <si>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</si>
  <si>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</si>
  <si>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</si>
  <si>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</si>
  <si>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</si>
  <si>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</si>
  <si>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</si>
  <si>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</si>
  <si>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</si>
  <si>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</si>
  <si>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</si>
  <si>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</si>
  <si>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</si>
  <si>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</si>
  <si>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</si>
  <si>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</si>
  <si>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</si>
  <si>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</si>
  <si>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</si>
  <si>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</si>
  <si>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</si>
  <si>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</si>
  <si>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</si>
  <si>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</si>
  <si>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</si>
  <si>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</si>
  <si>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</si>
  <si>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</si>
  <si>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</si>
  <si>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</si>
  <si>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</si>
  <si>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</si>
  <si>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</si>
  <si>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</si>
  <si>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</si>
  <si>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</si>
  <si>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</si>
  <si>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</si>
  <si>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</si>
  <si>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</si>
  <si>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</si>
  <si>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</si>
  <si>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</si>
  <si>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</si>
  <si>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</si>
  <si>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</si>
  <si>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</si>
  <si>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</si>
  <si>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</si>
  <si>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</si>
  <si>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</si>
  <si>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</si>
  <si>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</si>
  <si>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</si>
  <si>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</si>
  <si>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</si>
  <si>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</si>
  <si>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</si>
  <si>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</si>
  <si>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</si>
  <si>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</si>
  <si>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</si>
  <si>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</si>
  <si>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</si>
  <si>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</si>
  <si>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</si>
  <si>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</si>
  <si>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</si>
  <si>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</si>
  <si>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</si>
  <si>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</si>
  <si>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</si>
  <si>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</si>
  <si>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</si>
  <si>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</si>
  <si>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</si>
  <si>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</si>
  <si>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</si>
  <si>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</si>
  <si>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</si>
  <si>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</si>
  <si>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</si>
  <si>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</si>
  <si>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</si>
  <si>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</si>
  <si>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</si>
  <si>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</si>
  <si>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</si>
  <si>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</si>
  <si>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</si>
  <si>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</si>
  <si>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</si>
  <si>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</si>
  <si>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</si>
  <si>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</si>
  <si>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</si>
  <si>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</si>
  <si>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</si>
  <si>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</si>
  <si>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</si>
  <si>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</si>
  <si>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</si>
  <si>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</si>
  <si>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</si>
  <si>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</si>
  <si>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</si>
  <si>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</si>
  <si>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</si>
  <si>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</si>
  <si>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</si>
  <si>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</si>
  <si>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</si>
  <si>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</si>
  <si>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</si>
  <si>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</si>
  <si>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</si>
  <si>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</si>
  <si>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</si>
  <si>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</si>
  <si>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</si>
  <si>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</si>
  <si>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</si>
  <si>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</si>
  <si>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</si>
  <si>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</si>
  <si>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</si>
  <si>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</si>
  <si>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</si>
  <si>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</si>
  <si>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</si>
  <si>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</si>
  <si>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</si>
  <si>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</si>
  <si>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</si>
  <si>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</si>
  <si>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</si>
  <si>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</si>
  <si>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</si>
  <si>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</si>
  <si>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</si>
  <si>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</si>
  <si>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</si>
  <si>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</si>
  <si>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</si>
  <si>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</si>
  <si>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</si>
  <si>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</si>
  <si>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</si>
  <si>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</si>
  <si>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</si>
  <si>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</si>
  <si>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</si>
  <si>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</si>
  <si>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</si>
  <si>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</si>
  <si>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</si>
  <si>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</si>
  <si>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</si>
  <si>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</si>
  <si>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</si>
  <si>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</si>
  <si>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</si>
  <si>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</si>
  <si>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</si>
  <si>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</si>
  <si>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</si>
  <si>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</si>
  <si>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</si>
  <si>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</si>
  <si>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</si>
  <si>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</si>
  <si>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</si>
  <si>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</si>
  <si>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</si>
  <si>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</si>
  <si>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</si>
  <si>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</si>
  <si>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</si>
  <si>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</si>
  <si>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</si>
  <si>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</si>
  <si>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</si>
  <si>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</si>
  <si>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</si>
  <si>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</si>
  <si>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</si>
  <si>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</si>
  <si>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</si>
  <si>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</si>
  <si>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</si>
  <si>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</si>
  <si>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</si>
  <si>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</si>
  <si>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</si>
  <si>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</si>
  <si>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</si>
  <si>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</si>
  <si>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</si>
  <si>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</si>
  <si>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</si>
  <si>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</si>
  <si>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</si>
  <si>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</si>
  <si>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</si>
  <si>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</si>
  <si>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</si>
  <si>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</si>
  <si>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</si>
  <si>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</si>
  <si>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</si>
  <si>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</si>
  <si>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</si>
  <si>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</si>
  <si>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</si>
  <si>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</si>
  <si>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</si>
  <si>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</si>
  <si>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</si>
  <si>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</si>
  <si>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</si>
  <si>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</si>
  <si>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</si>
  <si>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</si>
  <si>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</si>
  <si>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</si>
  <si>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</si>
  <si>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</si>
  <si>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</si>
  <si>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</si>
  <si>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</si>
  <si>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</si>
  <si>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</si>
  <si>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</si>
  <si>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</si>
  <si>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</si>
  <si>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</si>
  <si>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</si>
  <si>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</si>
  <si>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</si>
  <si>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</si>
  <si>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</si>
  <si>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</si>
  <si>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</si>
  <si>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</si>
  <si>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</si>
  <si>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</si>
  <si>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</si>
  <si>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</si>
  <si>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</si>
  <si>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</si>
  <si>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</si>
  <si>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</si>
  <si>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</si>
  <si>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</si>
  <si>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</si>
  <si>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</si>
  <si>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</si>
  <si>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</si>
  <si>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</si>
  <si>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</si>
  <si>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</si>
  <si>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</si>
  <si>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</si>
  <si>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</si>
  <si>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</si>
  <si>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</si>
  <si>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</si>
  <si>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</si>
  <si>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</si>
  <si>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</si>
  <si>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</si>
  <si>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</si>
  <si>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</si>
  <si>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</si>
  <si>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</si>
  <si>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</si>
  <si>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</si>
  <si>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</si>
  <si>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</si>
  <si>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</si>
  <si>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</si>
  <si>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</si>
  <si>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</si>
  <si>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</si>
  <si>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</si>
  <si>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</si>
  <si>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</si>
  <si>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</si>
  <si>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</si>
  <si>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</si>
  <si>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</si>
  <si>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</si>
  <si>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</si>
  <si>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</si>
  <si>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</si>
  <si>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</si>
  <si>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</si>
  <si>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</si>
  <si>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</si>
  <si>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</si>
  <si>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</si>
  <si>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</si>
  <si>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</si>
  <si>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</si>
  <si>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</si>
  <si>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</si>
  <si>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</si>
  <si>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</si>
  <si>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</si>
  <si>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</si>
  <si>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</si>
  <si>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</si>
  <si>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</si>
  <si>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</si>
  <si>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</si>
  <si>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</si>
  <si>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</si>
  <si>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</si>
  <si>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</si>
  <si>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</si>
  <si>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</si>
  <si>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</si>
  <si>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</si>
  <si>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</si>
  <si>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</si>
  <si>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</si>
  <si>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</si>
  <si>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</si>
  <si>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</si>
  <si>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</si>
  <si>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</si>
  <si>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</si>
  <si>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</si>
  <si>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</si>
  <si>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</si>
  <si>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</si>
  <si>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</si>
  <si>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</si>
  <si>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</si>
  <si>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</si>
  <si>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</si>
  <si>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</si>
  <si>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</si>
  <si>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</si>
  <si>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</si>
  <si>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</si>
  <si>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</si>
  <si>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</si>
  <si>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</si>
  <si>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</si>
  <si>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</si>
  <si>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</si>
  <si>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</si>
  <si>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</si>
  <si>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</si>
  <si>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</si>
  <si>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</si>
  <si>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</si>
  <si>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</si>
  <si>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</si>
  <si>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</si>
  <si>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</si>
  <si>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</si>
  <si>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</si>
  <si>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</si>
  <si>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</si>
  <si>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</si>
  <si>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</si>
  <si>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</si>
  <si>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</si>
  <si>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</si>
  <si>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</si>
  <si>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</si>
  <si>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</si>
  <si>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</si>
  <si>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</si>
  <si>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</si>
  <si>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</si>
  <si>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</si>
  <si>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</si>
  <si>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</si>
  <si>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</si>
  <si>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</si>
  <si>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</si>
  <si>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</si>
  <si>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</si>
  <si>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</si>
  <si>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</si>
  <si>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</si>
  <si>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</si>
  <si>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</si>
  <si>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</si>
  <si>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</si>
  <si>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</si>
  <si>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</si>
  <si>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</si>
  <si>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</si>
  <si>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</si>
  <si>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</si>
  <si>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</si>
  <si>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</si>
  <si>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</si>
  <si>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</si>
  <si>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</si>
  <si>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</si>
  <si>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</si>
  <si>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</si>
  <si>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</si>
  <si>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</si>
  <si>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</si>
  <si>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</si>
  <si>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</si>
  <si>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</si>
  <si>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</si>
  <si>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</si>
  <si>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</si>
  <si>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</si>
  <si>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</si>
  <si>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</si>
  <si>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</si>
  <si>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</si>
  <si>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</si>
  <si>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</si>
  <si>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</si>
  <si>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</si>
  <si>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</si>
  <si>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</si>
  <si>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</si>
  <si>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</si>
  <si>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</si>
  <si>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</si>
  <si>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</si>
  <si>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</si>
  <si>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</si>
  <si>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</si>
  <si>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</si>
  <si>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</si>
  <si>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</si>
  <si>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</si>
  <si>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</si>
  <si>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</si>
  <si>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</si>
  <si>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</si>
  <si>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</si>
  <si>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</si>
  <si>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</si>
  <si>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</si>
  <si>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</si>
  <si>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</si>
  <si>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</si>
  <si>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</si>
  <si>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</si>
  <si>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</si>
  <si>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</si>
  <si>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</si>
  <si>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</si>
  <si>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</si>
  <si>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</si>
  <si>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</si>
  <si>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</si>
  <si>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</si>
  <si>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</si>
  <si>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</si>
  <si>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</si>
  <si>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</si>
  <si>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</si>
  <si>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</si>
  <si>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</si>
  <si>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</si>
  <si>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</si>
  <si>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</si>
  <si>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</si>
  <si>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</si>
  <si>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</si>
  <si>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</si>
  <si>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</si>
  <si>
    <t>Школа для беременных и по вопросам грудного вскармливания</t>
  </si>
  <si>
    <t>ГБУЗ РБ Стоматологическая поликлиника №2 г.Уфа всего, в том числе</t>
  </si>
  <si>
    <t>ГБУЗ РБ ГКБ №1 г.Стерлитамак всего, в том числе</t>
  </si>
  <si>
    <t>ГБУЗ РБ ГДКБ №17 г.Уфа всего, в том числе</t>
  </si>
  <si>
    <t>ГБУЗ РБ Стоматологическая поликлиника №6 г.Уфа всего, в том числе</t>
  </si>
  <si>
    <t>ГБУЗ РБ ГКБ №9 г.Уфы всего, в том числе:</t>
  </si>
  <si>
    <t>ГБУЗ РБ ГКБ №1 г.Стерлитамак всего, в том числе:</t>
  </si>
  <si>
    <t>ГБУЗ РБ ГДКБ №17 г.Уфа всего, в том числе:</t>
  </si>
  <si>
    <t>ГБУЗ РБ ГКБ №9 г.Уфа всего, в том числе</t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</si>
  <si>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</si>
  <si>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</si>
  <si>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</si>
  <si>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</si>
  <si>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</si>
  <si>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t>ГБУЗ РКГВВ</t>
  </si>
  <si>
    <t>ГБУЗ РБ ГКБ №1 г.Стерлитамак
 всего, в том числе</t>
  </si>
  <si>
    <t>ГБУЗ РБ Стоматологическая поликлиника №2 г.Уфа 
всего, в том числе</t>
  </si>
  <si>
    <t>ГБУЗ РБ ГДКБ №17 г.Уфа 
всего, в том числе</t>
  </si>
  <si>
    <t>ГБУЗ РБ ГКБ №9 г.Уфы
всего, в том числе</t>
  </si>
  <si>
    <t>ГБУЗ РБ Стоматологическая поликлиника №6 г.Уфа 
всего, в том числе</t>
  </si>
  <si>
    <t>ФГБОУ ВО БГМУ Минздрава России 
всего, в том числе:</t>
  </si>
  <si>
    <t>ФГБОУ ВО БГМУ Минздрава России
всего, в том числе:</t>
  </si>
  <si>
    <t>в т.ч. ГБУЗ РБ ДБ г.Стерлитамак</t>
  </si>
  <si>
    <t>2А</t>
  </si>
  <si>
    <t>ГБУЗ  ЦСМК и МК</t>
  </si>
  <si>
    <t>Проектные 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</si>
  <si>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>взрослые с использованием мобильного реабилитационного комплекса</t>
  </si>
  <si>
    <t>ГБУЗ РБ ГБ 9 г. Уфы</t>
  </si>
  <si>
    <t>ГБУЗ РБ ГКБ № 21 г. Уфа</t>
  </si>
  <si>
    <t>первый диспансерный прием (повторное посещение с применением  телемедицинских технологий), через 3 месяца с момента постановки на диспансерное наблюдение</t>
  </si>
  <si>
    <t>для определения преждевременной активации механизма оксидативного стресса и (или) митохондриальной дисфункции и сосудистого механизма старения (выявление изменений в организме человека, которые могут привести к преждевременной активации механизмов старения и формированию факторов риска развиия заболеваний сердечно-сосудистой системы</t>
  </si>
  <si>
    <t>в том числе динамическое наблюдение пациентов с факторами риска развития хронических неинфекционных заболеваний
 (оформляется отдельными реестрами, но не учитывается в выполнении объемов комплексных посещений)</t>
  </si>
  <si>
    <t>в том числе: объемы обследований в рамках 2 этапа  
(оформляется отдельными реестрами, но не учитывается в выполнении объемов комплексных посещений )</t>
  </si>
  <si>
    <t xml:space="preserve">   от 24.07.2026 № 9-26</t>
  </si>
  <si>
    <t>ГБУЗ РБ ГКБ № 21 г.Уфы им. В.Г. Сахаутдинова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</si>
</sst>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0" borderId="0"/>
    <xf numFmtId="0" fontId="48" fillId="0" borderId="0" applyFill="0" applyProtection="0"/>
    <xf numFmtId="0" fontId="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5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62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2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2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1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1" fillId="2" borderId="1" xfId="36" applyFont="1" applyFill="1" applyBorder="1" applyAlignment="1">
      <alignment horizontal="left" vertical="center" wrapText="1"/>
    </xf>
    <xf numFmtId="0" fontId="51" fillId="2" borderId="1" xfId="36" applyFont="1" applyFill="1" applyBorder="1" applyAlignment="1">
      <alignment horizontal="center" vertical="center"/>
    </xf>
    <xf numFmtId="3" fontId="51" fillId="2" borderId="1" xfId="36" applyNumberFormat="1" applyFont="1" applyFill="1" applyBorder="1" applyAlignment="1">
      <alignment horizontal="center" vertical="center"/>
    </xf>
    <xf numFmtId="0" fontId="51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1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1" fillId="2" borderId="1" xfId="37" applyFont="1" applyFill="1" applyBorder="1" applyAlignment="1">
      <alignment horizontal="left" vertical="center" wrapText="1"/>
    </xf>
    <xf numFmtId="0" fontId="51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2" fillId="2" borderId="0" xfId="39" applyFont="1" applyFill="1" applyProtection="1">
      <protection locked="0"/>
    </xf>
    <xf numFmtId="0" fontId="41" fillId="2" borderId="7" xfId="39" applyFont="1" applyFill="1" applyBorder="1" applyAlignment="1" applyProtection="1">
      <alignment horizontal="center" vertical="center" wrapText="1"/>
      <protection locked="0"/>
    </xf>
    <xf numFmtId="0" fontId="54" fillId="2" borderId="7" xfId="39" applyFont="1" applyFill="1" applyBorder="1" applyAlignment="1" applyProtection="1">
      <alignment horizontal="center" vertical="center" wrapText="1"/>
      <protection locked="0"/>
    </xf>
    <xf numFmtId="0" fontId="41" fillId="2" borderId="1" xfId="39" applyFont="1" applyFill="1" applyBorder="1" applyAlignment="1" applyProtection="1">
      <alignment horizontal="center" vertical="center" wrapText="1"/>
      <protection locked="0"/>
    </xf>
    <xf numFmtId="3" fontId="42" fillId="2" borderId="0" xfId="39" applyNumberFormat="1" applyFont="1" applyFill="1" applyProtection="1">
      <protection locked="0"/>
    </xf>
    <xf numFmtId="0" fontId="41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1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2" fillId="2" borderId="0" xfId="36" applyNumberFormat="1" applyFont="1" applyFill="1"/>
    <xf numFmtId="0" fontId="42" fillId="2" borderId="0" xfId="36" applyFont="1" applyFill="1"/>
    <xf numFmtId="0" fontId="42" fillId="2" borderId="0" xfId="36" applyFont="1" applyFill="1" applyAlignment="1">
      <alignment horizontal="center" vertical="center"/>
    </xf>
    <xf numFmtId="3" fontId="42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6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7" fillId="0" borderId="1" xfId="42" applyFont="1" applyFill="1" applyBorder="1" applyAlignment="1" applyProtection="1">
      <alignment horizontal="center" vertical="center" wrapText="1"/>
      <protection locked="0"/>
    </xf>
    <xf numFmtId="3" fontId="57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58" fillId="0" borderId="0" xfId="42" applyFont="1" applyFill="1" applyAlignment="1">
      <alignment vertical="center"/>
    </xf>
    <xf numFmtId="0" fontId="59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2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vertical="center"/>
      <protection locked="0"/>
    </xf>
    <xf numFmtId="0" fontId="41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1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1" fillId="10" borderId="1" xfId="0" applyNumberFormat="1" applyFont="1" applyFill="1" applyBorder="1" applyAlignment="1">
      <alignment horizontal="center" vertical="center" wrapText="1"/>
    </xf>
    <xf numFmtId="0" fontId="51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3" fillId="0" borderId="0" xfId="0" applyFont="1"/>
    <xf numFmtId="3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1" fillId="0" borderId="0" xfId="0" applyNumberFormat="1" applyFont="1" applyFill="1" applyAlignment="1">
      <alignment horizontal="center"/>
    </xf>
    <xf numFmtId="3" fontId="51" fillId="0" borderId="24" xfId="0" applyNumberFormat="1" applyFont="1" applyFill="1" applyBorder="1" applyAlignment="1">
      <alignment horizontal="center"/>
    </xf>
    <xf numFmtId="3" fontId="51" fillId="0" borderId="13" xfId="0" applyNumberFormat="1" applyFont="1" applyFill="1" applyBorder="1" applyAlignment="1">
      <alignment horizontal="center"/>
    </xf>
    <xf numFmtId="3" fontId="51" fillId="0" borderId="14" xfId="0" applyNumberFormat="1" applyFont="1" applyFill="1" applyBorder="1" applyAlignment="1">
      <alignment horizontal="center"/>
    </xf>
    <xf numFmtId="3" fontId="51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1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1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1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1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1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1" fillId="0" borderId="0" xfId="0" applyNumberFormat="1" applyFont="1" applyFill="1" applyAlignment="1">
      <alignment horizontal="center" vertical="center"/>
    </xf>
    <xf numFmtId="3" fontId="2" fillId="0" borderId="29" xfId="0" applyNumberFormat="1" applyFont="1" applyFill="1" applyBorder="1" applyAlignment="1">
      <alignment horizontal="center" vertical="center" wrapText="1"/>
    </xf>
    <xf numFmtId="3" fontId="51" fillId="0" borderId="1" xfId="0" applyNumberFormat="1" applyFont="1" applyFill="1" applyBorder="1" applyAlignment="1">
      <alignment horizontal="center" vertical="center"/>
    </xf>
    <xf numFmtId="3" fontId="51" fillId="0" borderId="21" xfId="0" applyNumberFormat="1" applyFont="1" applyFill="1" applyBorder="1" applyAlignment="1">
      <alignment horizontal="center" vertical="center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1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1" fillId="0" borderId="51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24" xfId="0" applyNumberFormat="1" applyFont="1" applyFill="1" applyBorder="1" applyAlignment="1">
      <alignment horizontal="center" vertical="center"/>
    </xf>
    <xf numFmtId="3" fontId="51" fillId="0" borderId="25" xfId="0" applyNumberFormat="1" applyFont="1" applyFill="1" applyBorder="1" applyAlignment="1">
      <alignment horizontal="center" vertical="center"/>
    </xf>
    <xf numFmtId="3" fontId="51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1" fillId="0" borderId="19" xfId="0" applyNumberFormat="1" applyFont="1" applyFill="1" applyBorder="1" applyAlignment="1">
      <alignment horizontal="center" vertical="center"/>
    </xf>
    <xf numFmtId="3" fontId="51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1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1" fillId="0" borderId="23" xfId="0" applyNumberFormat="1" applyFont="1" applyFill="1" applyBorder="1" applyAlignment="1">
      <alignment horizontal="center" vertical="center"/>
    </xf>
    <xf numFmtId="3" fontId="51" fillId="0" borderId="7" xfId="0" applyNumberFormat="1" applyFont="1" applyFill="1" applyBorder="1" applyAlignment="1">
      <alignment horizontal="center" vertical="center"/>
    </xf>
    <xf numFmtId="4" fontId="51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1" fillId="0" borderId="19" xfId="0" applyNumberFormat="1" applyFont="1" applyFill="1" applyBorder="1" applyAlignment="1">
      <alignment horizontal="center" vertical="center"/>
    </xf>
    <xf numFmtId="0" fontId="51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1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51" fillId="0" borderId="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68" fillId="2" borderId="0" xfId="0" applyFont="1" applyFill="1" applyBorder="1" applyAlignment="1">
      <alignment horizontal="center" vertical="center"/>
    </xf>
    <xf numFmtId="3" fontId="64" fillId="0" borderId="0" xfId="0" applyNumberFormat="1" applyFont="1" applyFill="1" applyAlignment="1">
      <alignment horizontal="center" vertical="center"/>
    </xf>
    <xf numFmtId="3" fontId="64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69" fillId="0" borderId="0" xfId="0" applyNumberFormat="1" applyFont="1" applyFill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49" fillId="2" borderId="0" xfId="18" applyNumberFormat="1" applyFont="1" applyFill="1" applyAlignment="1">
      <alignment vertical="center" wrapText="1"/>
    </xf>
    <xf numFmtId="3" fontId="42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2" fillId="2" borderId="0" xfId="18" applyNumberFormat="1" applyFont="1" applyFill="1" applyAlignment="1">
      <alignment horizontal="right" vertical="center"/>
    </xf>
    <xf numFmtId="4" fontId="42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0" fontId="33" fillId="0" borderId="1" xfId="9" applyFont="1" applyBorder="1" applyAlignment="1">
      <alignment horizont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3" fontId="2" fillId="2" borderId="1" xfId="3" applyNumberFormat="1" applyFont="1" applyFill="1" applyBorder="1" applyAlignment="1">
      <alignment horizontal="left" vertical="center" wrapText="1"/>
    </xf>
    <xf numFmtId="3" fontId="42" fillId="2" borderId="7" xfId="36" applyNumberFormat="1" applyFont="1" applyFill="1" applyBorder="1" applyAlignment="1">
      <alignment horizontal="center" vertical="center" wrapText="1"/>
    </xf>
    <xf numFmtId="3" fontId="70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1" fillId="2" borderId="5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3" fontId="51" fillId="2" borderId="5" xfId="36" applyNumberFormat="1" applyFont="1" applyFill="1" applyBorder="1" applyAlignment="1">
      <alignment horizontal="center" vertical="center"/>
    </xf>
    <xf numFmtId="1" fontId="51" fillId="2" borderId="5" xfId="36" applyNumberFormat="1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" fontId="16" fillId="0" borderId="1" xfId="1" applyNumberFormat="1" applyFont="1" applyFill="1" applyBorder="1" applyAlignment="1">
      <alignment horizontal="left" vertical="center" wrapText="1"/>
    </xf>
    <xf numFmtId="3" fontId="13" fillId="0" borderId="1" xfId="1" applyNumberFormat="1" applyFont="1" applyFill="1" applyBorder="1" applyAlignment="1">
      <alignment horizontal="left" vertical="center" wrapText="1"/>
    </xf>
    <xf numFmtId="3" fontId="16" fillId="0" borderId="5" xfId="1" applyNumberFormat="1" applyFont="1" applyFill="1" applyBorder="1" applyAlignment="1">
      <alignment horizontal="left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2" borderId="0" xfId="1" applyFont="1" applyFill="1"/>
    <xf numFmtId="3" fontId="34" fillId="2" borderId="1" xfId="15" applyNumberFormat="1" applyFont="1" applyFill="1" applyBorder="1" applyAlignment="1">
      <alignment horizontal="center" vertical="center"/>
    </xf>
    <xf numFmtId="3" fontId="32" fillId="2" borderId="1" xfId="15" applyNumberFormat="1" applyFont="1" applyFill="1" applyBorder="1" applyAlignment="1">
      <alignment horizontal="center" vertical="center"/>
    </xf>
    <xf numFmtId="3" fontId="7" fillId="2" borderId="1" xfId="15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36" fillId="2" borderId="0" xfId="20" applyFont="1" applyFill="1"/>
    <xf numFmtId="0" fontId="36" fillId="2" borderId="0" xfId="20" applyFont="1" applyFill="1" applyAlignment="1">
      <alignment vertical="center"/>
    </xf>
    <xf numFmtId="0" fontId="32" fillId="2" borderId="1" xfId="21" applyFont="1" applyFill="1" applyBorder="1" applyAlignment="1">
      <alignment horizontal="center" vertical="center" wrapText="1"/>
    </xf>
    <xf numFmtId="0" fontId="32" fillId="2" borderId="1" xfId="22" applyFont="1" applyFill="1" applyBorder="1" applyAlignment="1">
      <alignment horizontal="center" vertical="center" wrapText="1"/>
    </xf>
    <xf numFmtId="0" fontId="7" fillId="2" borderId="1" xfId="22" applyFont="1" applyFill="1" applyBorder="1" applyAlignment="1">
      <alignment horizontal="center" vertical="center" wrapText="1"/>
    </xf>
    <xf numFmtId="0" fontId="26" fillId="2" borderId="1" xfId="20" applyFont="1" applyFill="1" applyBorder="1" applyAlignment="1">
      <alignment horizontal="center" vertical="center" wrapText="1"/>
    </xf>
    <xf numFmtId="3" fontId="26" fillId="2" borderId="1" xfId="20" applyNumberFormat="1" applyFont="1" applyFill="1" applyBorder="1" applyAlignment="1">
      <alignment horizontal="center" vertical="center"/>
    </xf>
    <xf numFmtId="0" fontId="37" fillId="2" borderId="0" xfId="20" applyFont="1" applyFill="1"/>
    <xf numFmtId="3" fontId="34" fillId="2" borderId="1" xfId="20" applyNumberFormat="1" applyFont="1" applyFill="1" applyBorder="1" applyAlignment="1">
      <alignment horizontal="center" vertical="center"/>
    </xf>
    <xf numFmtId="0" fontId="38" fillId="2" borderId="0" xfId="20" applyFont="1" applyFill="1"/>
    <xf numFmtId="3" fontId="32" fillId="2" borderId="1" xfId="20" applyNumberFormat="1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49" fontId="7" fillId="2" borderId="1" xfId="6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7" fillId="2" borderId="1" xfId="14" applyFont="1" applyFill="1" applyBorder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0" fontId="13" fillId="2" borderId="0" xfId="1" applyFont="1" applyFill="1"/>
    <xf numFmtId="0" fontId="2" fillId="2" borderId="1" xfId="6" applyFont="1" applyFill="1" applyBorder="1" applyAlignment="1">
      <alignment horizontal="left" vertical="center"/>
    </xf>
    <xf numFmtId="0" fontId="2" fillId="2" borderId="1" xfId="23" quotePrefix="1" applyFont="1" applyFill="1" applyBorder="1" applyAlignment="1">
      <alignment horizontal="center" vertical="center"/>
    </xf>
    <xf numFmtId="0" fontId="2" fillId="2" borderId="1" xfId="23" applyFont="1" applyFill="1" applyBorder="1" applyAlignment="1">
      <alignment horizontal="left" vertical="center"/>
    </xf>
    <xf numFmtId="0" fontId="2" fillId="2" borderId="1" xfId="22" quotePrefix="1" applyFont="1" applyFill="1" applyBorder="1" applyAlignment="1">
      <alignment horizontal="center" vertical="center"/>
    </xf>
    <xf numFmtId="0" fontId="2" fillId="2" borderId="1" xfId="22" applyFont="1" applyFill="1" applyBorder="1" applyAlignment="1">
      <alignment horizontal="left" vertical="center"/>
    </xf>
    <xf numFmtId="3" fontId="2" fillId="2" borderId="1" xfId="26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9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0" fontId="2" fillId="2" borderId="1" xfId="24" quotePrefix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left" vertical="center"/>
    </xf>
    <xf numFmtId="0" fontId="42" fillId="2" borderId="1" xfId="9" applyFont="1" applyFill="1" applyBorder="1" applyAlignment="1">
      <alignment horizontal="center" vertical="center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center" vertical="center" wrapText="1"/>
    </xf>
    <xf numFmtId="49" fontId="42" fillId="2" borderId="1" xfId="2" applyNumberFormat="1" applyFont="1" applyFill="1" applyBorder="1" applyAlignment="1">
      <alignment horizontal="center" vertical="center"/>
    </xf>
    <xf numFmtId="49" fontId="42" fillId="2" borderId="1" xfId="9" applyNumberFormat="1" applyFont="1" applyFill="1" applyBorder="1" applyAlignment="1">
      <alignment horizontal="center" vertical="center" wrapText="1"/>
    </xf>
    <xf numFmtId="0" fontId="42" fillId="2" borderId="1" xfId="9" applyFont="1" applyFill="1" applyBorder="1" applyAlignment="1">
      <alignment horizontal="left" vertical="center" wrapText="1"/>
    </xf>
    <xf numFmtId="0" fontId="43" fillId="2" borderId="1" xfId="2" applyFont="1" applyFill="1" applyBorder="1" applyAlignment="1">
      <alignment horizontal="left" vertical="center" wrapText="1"/>
    </xf>
    <xf numFmtId="0" fontId="42" fillId="2" borderId="1" xfId="4" applyFont="1" applyFill="1" applyBorder="1" applyAlignment="1">
      <alignment horizontal="left" vertical="center" wrapText="1"/>
    </xf>
    <xf numFmtId="49" fontId="42" fillId="2" borderId="1" xfId="9" applyNumberFormat="1" applyFont="1" applyFill="1" applyBorder="1" applyAlignment="1">
      <alignment horizontal="center" vertical="center"/>
    </xf>
    <xf numFmtId="49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center" vertical="center"/>
    </xf>
    <xf numFmtId="164" fontId="42" fillId="2" borderId="1" xfId="2" applyNumberFormat="1" applyFont="1" applyFill="1" applyBorder="1" applyAlignment="1">
      <alignment horizontal="center" vertical="center"/>
    </xf>
    <xf numFmtId="3" fontId="42" fillId="2" borderId="1" xfId="9" applyNumberFormat="1" applyFont="1" applyFill="1" applyBorder="1" applyAlignment="1">
      <alignment horizontal="left" vertical="center" wrapText="1"/>
    </xf>
    <xf numFmtId="3" fontId="42" fillId="2" borderId="5" xfId="2" applyNumberFormat="1" applyFont="1" applyFill="1" applyBorder="1" applyAlignment="1">
      <alignment horizontal="center" vertical="center"/>
    </xf>
    <xf numFmtId="0" fontId="42" fillId="2" borderId="0" xfId="1" applyFont="1" applyFill="1"/>
    <xf numFmtId="0" fontId="42" fillId="2" borderId="1" xfId="9" applyFont="1" applyFill="1" applyBorder="1" applyAlignment="1">
      <alignment horizontal="left" vertical="center"/>
    </xf>
    <xf numFmtId="0" fontId="42" fillId="2" borderId="1" xfId="9" quotePrefix="1" applyFont="1" applyFill="1" applyBorder="1" applyAlignment="1">
      <alignment horizontal="center" vertical="center"/>
    </xf>
    <xf numFmtId="0" fontId="42" fillId="2" borderId="1" xfId="30" quotePrefix="1" applyFont="1" applyFill="1" applyBorder="1" applyAlignment="1">
      <alignment horizontal="center" vertical="center"/>
    </xf>
    <xf numFmtId="0" fontId="42" fillId="2" borderId="1" xfId="30" applyFont="1" applyFill="1" applyBorder="1" applyAlignment="1">
      <alignment horizontal="left" vertical="center"/>
    </xf>
    <xf numFmtId="0" fontId="2" fillId="2" borderId="0" xfId="9" applyFont="1" applyFill="1" applyBorder="1" applyAlignment="1">
      <alignment horizontal="center" vertical="center"/>
    </xf>
    <xf numFmtId="0" fontId="2" fillId="2" borderId="0" xfId="9" quotePrefix="1" applyFont="1" applyFill="1" applyBorder="1" applyAlignment="1">
      <alignment horizontal="center" vertical="center"/>
    </xf>
    <xf numFmtId="0" fontId="2" fillId="2" borderId="0" xfId="9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vertical="center" wrapText="1"/>
    </xf>
    <xf numFmtId="3" fontId="7" fillId="2" borderId="1" xfId="9" applyNumberFormat="1" applyFont="1" applyFill="1" applyBorder="1" applyAlignment="1">
      <alignment horizontal="center" vertical="center" wrapText="1"/>
    </xf>
    <xf numFmtId="0" fontId="13" fillId="2" borderId="0" xfId="18" applyFont="1" applyFill="1"/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left" vertical="center" wrapText="1"/>
    </xf>
    <xf numFmtId="3" fontId="9" fillId="2" borderId="1" xfId="3" applyNumberFormat="1" applyFont="1" applyFill="1" applyBorder="1" applyAlignment="1">
      <alignment horizontal="right" vertical="center"/>
    </xf>
    <xf numFmtId="3" fontId="2" fillId="2" borderId="1" xfId="18" applyNumberFormat="1" applyFont="1" applyFill="1" applyBorder="1" applyAlignment="1">
      <alignment horizontal="right" vertical="center"/>
    </xf>
    <xf numFmtId="3" fontId="5" fillId="2" borderId="1" xfId="18" applyNumberFormat="1" applyFont="1" applyFill="1" applyBorder="1" applyAlignment="1">
      <alignment horizontal="right" vertical="center"/>
    </xf>
    <xf numFmtId="3" fontId="9" fillId="2" borderId="1" xfId="18" applyNumberFormat="1" applyFont="1" applyFill="1" applyBorder="1" applyAlignment="1">
      <alignment horizontal="right" vertical="center"/>
    </xf>
    <xf numFmtId="3" fontId="7" fillId="2" borderId="1" xfId="18" applyNumberFormat="1" applyFont="1" applyFill="1" applyBorder="1" applyAlignment="1">
      <alignment horizontal="right" vertical="center"/>
    </xf>
    <xf numFmtId="0" fontId="13" fillId="2" borderId="19" xfId="6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23" xfId="2" applyFont="1" applyFill="1" applyBorder="1" applyAlignment="1">
      <alignment horizontal="left" vertical="center" wrapText="1"/>
    </xf>
    <xf numFmtId="0" fontId="13" fillId="2" borderId="23" xfId="2" applyFont="1" applyFill="1" applyBorder="1" applyAlignment="1">
      <alignment horizontal="left" vertical="center" wrapText="1"/>
    </xf>
    <xf numFmtId="3" fontId="13" fillId="2" borderId="19" xfId="43" applyNumberFormat="1" applyFont="1" applyFill="1" applyBorder="1" applyAlignment="1">
      <alignment horizontal="center" vertical="center"/>
    </xf>
    <xf numFmtId="3" fontId="13" fillId="2" borderId="7" xfId="43" applyNumberFormat="1" applyFont="1" applyFill="1" applyBorder="1" applyAlignment="1">
      <alignment horizontal="center" vertical="center"/>
    </xf>
    <xf numFmtId="3" fontId="13" fillId="2" borderId="23" xfId="43" applyNumberFormat="1" applyFont="1" applyFill="1" applyBorder="1" applyAlignment="1">
      <alignment horizontal="center" vertical="center"/>
    </xf>
    <xf numFmtId="3" fontId="13" fillId="2" borderId="9" xfId="43" applyNumberFormat="1" applyFont="1" applyFill="1" applyBorder="1" applyAlignment="1">
      <alignment horizontal="center" vertical="center"/>
    </xf>
    <xf numFmtId="0" fontId="51" fillId="2" borderId="23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3" fontId="13" fillId="2" borderId="1" xfId="43" applyNumberFormat="1" applyFont="1" applyFill="1" applyBorder="1" applyAlignment="1">
      <alignment horizontal="center" vertical="center"/>
    </xf>
    <xf numFmtId="0" fontId="13" fillId="2" borderId="0" xfId="43" applyFont="1" applyFill="1"/>
    <xf numFmtId="49" fontId="15" fillId="2" borderId="1" xfId="2" applyNumberFormat="1" applyFont="1" applyFill="1" applyBorder="1" applyAlignment="1">
      <alignment horizontal="center" vertical="center" wrapText="1"/>
    </xf>
    <xf numFmtId="49" fontId="51" fillId="2" borderId="1" xfId="2" applyNumberFormat="1" applyFont="1" applyFill="1" applyBorder="1" applyAlignment="1">
      <alignment horizontal="center" vertical="center" wrapText="1"/>
    </xf>
    <xf numFmtId="3" fontId="13" fillId="2" borderId="23" xfId="2" applyNumberFormat="1" applyFont="1" applyFill="1" applyBorder="1" applyAlignment="1">
      <alignment horizontal="left" vertical="center" wrapText="1"/>
    </xf>
    <xf numFmtId="3" fontId="13" fillId="2" borderId="23" xfId="6" applyNumberFormat="1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/>
    </xf>
    <xf numFmtId="0" fontId="13" fillId="2" borderId="23" xfId="6" applyFont="1" applyFill="1" applyBorder="1" applyAlignment="1">
      <alignment horizontal="left" vertical="center"/>
    </xf>
    <xf numFmtId="0" fontId="13" fillId="2" borderId="1" xfId="23" quotePrefix="1" applyFont="1" applyFill="1" applyBorder="1" applyAlignment="1">
      <alignment horizontal="center" vertical="center"/>
    </xf>
    <xf numFmtId="0" fontId="13" fillId="2" borderId="23" xfId="23" applyFont="1" applyFill="1" applyBorder="1" applyAlignment="1">
      <alignment horizontal="left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 wrapText="1"/>
    </xf>
    <xf numFmtId="3" fontId="13" fillId="2" borderId="0" xfId="43" applyNumberFormat="1" applyFont="1" applyFill="1" applyAlignment="1">
      <alignment horizontal="center"/>
    </xf>
    <xf numFmtId="0" fontId="74" fillId="2" borderId="0" xfId="43" applyFont="1" applyFill="1"/>
    <xf numFmtId="0" fontId="42" fillId="2" borderId="0" xfId="43" applyFont="1" applyFill="1"/>
    <xf numFmtId="0" fontId="42" fillId="2" borderId="1" xfId="43" applyFont="1" applyFill="1" applyBorder="1" applyAlignment="1">
      <alignment horizontal="center" vertical="center" wrapText="1"/>
    </xf>
    <xf numFmtId="0" fontId="42" fillId="2" borderId="0" xfId="43" applyFont="1" applyFill="1" applyAlignment="1">
      <alignment vertical="center"/>
    </xf>
    <xf numFmtId="0" fontId="13" fillId="2" borderId="26" xfId="43" applyFont="1" applyFill="1" applyBorder="1" applyAlignment="1">
      <alignment horizontal="center" vertical="center" wrapText="1"/>
    </xf>
    <xf numFmtId="0" fontId="13" fillId="2" borderId="27" xfId="43" applyFont="1" applyFill="1" applyBorder="1" applyAlignment="1">
      <alignment horizontal="center" vertical="center" wrapText="1"/>
    </xf>
    <xf numFmtId="0" fontId="13" fillId="2" borderId="29" xfId="43" applyFont="1" applyFill="1" applyBorder="1" applyAlignment="1">
      <alignment horizontal="center" vertical="center" wrapText="1"/>
    </xf>
    <xf numFmtId="3" fontId="42" fillId="2" borderId="41" xfId="43" applyNumberFormat="1" applyFont="1" applyFill="1" applyBorder="1" applyAlignment="1">
      <alignment horizontal="center" vertical="center"/>
    </xf>
    <xf numFmtId="0" fontId="42" fillId="2" borderId="27" xfId="43" applyFont="1" applyFill="1" applyBorder="1" applyAlignment="1">
      <alignment horizontal="center" vertical="center" wrapText="1"/>
    </xf>
    <xf numFmtId="0" fontId="42" fillId="2" borderId="42" xfId="43" applyFont="1" applyFill="1" applyBorder="1" applyAlignment="1">
      <alignment horizontal="center" vertical="center" wrapText="1"/>
    </xf>
    <xf numFmtId="0" fontId="42" fillId="2" borderId="28" xfId="43" applyFont="1" applyFill="1" applyBorder="1" applyAlignment="1">
      <alignment horizontal="center" vertical="center" wrapText="1"/>
    </xf>
    <xf numFmtId="0" fontId="42" fillId="2" borderId="43" xfId="43" applyFont="1" applyFill="1" applyBorder="1" applyAlignment="1">
      <alignment horizontal="center" vertical="center" wrapText="1"/>
    </xf>
    <xf numFmtId="0" fontId="42" fillId="2" borderId="29" xfId="43" applyFont="1" applyFill="1" applyBorder="1" applyAlignment="1">
      <alignment horizontal="center" vertical="center" wrapText="1"/>
    </xf>
    <xf numFmtId="3" fontId="42" fillId="2" borderId="44" xfId="43" applyNumberFormat="1" applyFont="1" applyFill="1" applyBorder="1" applyAlignment="1">
      <alignment horizontal="center" vertical="center"/>
    </xf>
    <xf numFmtId="3" fontId="51" fillId="2" borderId="47" xfId="43" applyNumberFormat="1" applyFont="1" applyFill="1" applyBorder="1" applyAlignment="1">
      <alignment horizontal="center" vertical="center"/>
    </xf>
    <xf numFmtId="3" fontId="51" fillId="2" borderId="30" xfId="43" applyNumberFormat="1" applyFont="1" applyFill="1" applyBorder="1" applyAlignment="1">
      <alignment horizontal="center" vertical="center"/>
    </xf>
    <xf numFmtId="3" fontId="51" fillId="2" borderId="16" xfId="43" applyNumberFormat="1" applyFont="1" applyFill="1" applyBorder="1" applyAlignment="1">
      <alignment horizontal="center" vertical="center"/>
    </xf>
    <xf numFmtId="3" fontId="51" fillId="2" borderId="14" xfId="43" applyNumberFormat="1" applyFont="1" applyFill="1" applyBorder="1" applyAlignment="1">
      <alignment horizontal="center" vertical="center"/>
    </xf>
    <xf numFmtId="3" fontId="51" fillId="2" borderId="46" xfId="43" applyNumberFormat="1" applyFont="1" applyFill="1" applyBorder="1" applyAlignment="1">
      <alignment horizontal="center" vertical="center"/>
    </xf>
    <xf numFmtId="0" fontId="51" fillId="2" borderId="0" xfId="43" applyFont="1" applyFill="1"/>
    <xf numFmtId="3" fontId="51" fillId="2" borderId="9" xfId="43" applyNumberFormat="1" applyFont="1" applyFill="1" applyBorder="1" applyAlignment="1">
      <alignment horizontal="center" vertical="center"/>
    </xf>
    <xf numFmtId="3" fontId="51" fillId="2" borderId="8" xfId="43" applyNumberFormat="1" applyFont="1" applyFill="1" applyBorder="1" applyAlignment="1">
      <alignment horizontal="center" vertical="center"/>
    </xf>
    <xf numFmtId="3" fontId="51" fillId="2" borderId="19" xfId="43" applyNumberFormat="1" applyFont="1" applyFill="1" applyBorder="1" applyAlignment="1">
      <alignment horizontal="center" vertical="center"/>
    </xf>
    <xf numFmtId="3" fontId="51" fillId="2" borderId="21" xfId="43" applyNumberFormat="1" applyFont="1" applyFill="1" applyBorder="1" applyAlignment="1">
      <alignment horizontal="center" vertical="center"/>
    </xf>
    <xf numFmtId="3" fontId="51" fillId="2" borderId="1" xfId="43" applyNumberFormat="1" applyFont="1" applyFill="1" applyBorder="1" applyAlignment="1">
      <alignment horizontal="center" vertical="center"/>
    </xf>
    <xf numFmtId="3" fontId="51" fillId="2" borderId="7" xfId="43" applyNumberFormat="1" applyFont="1" applyFill="1" applyBorder="1" applyAlignment="1">
      <alignment horizontal="center" vertical="center"/>
    </xf>
    <xf numFmtId="3" fontId="51" fillId="2" borderId="23" xfId="43" applyNumberFormat="1" applyFont="1" applyFill="1" applyBorder="1" applyAlignment="1">
      <alignment horizontal="center" vertical="center"/>
    </xf>
    <xf numFmtId="49" fontId="13" fillId="2" borderId="1" xfId="6" applyNumberFormat="1" applyFont="1" applyFill="1" applyBorder="1" applyAlignment="1">
      <alignment horizontal="center" vertical="center" wrapText="1"/>
    </xf>
    <xf numFmtId="0" fontId="13" fillId="2" borderId="23" xfId="6" applyFont="1" applyFill="1" applyBorder="1" applyAlignment="1">
      <alignment horizontal="left" vertical="center" wrapText="1"/>
    </xf>
    <xf numFmtId="0" fontId="51" fillId="2" borderId="23" xfId="14" applyFont="1" applyFill="1" applyBorder="1" applyAlignment="1">
      <alignment horizontal="left" vertical="center" wrapText="1"/>
    </xf>
    <xf numFmtId="49" fontId="13" fillId="2" borderId="1" xfId="6" applyNumberFormat="1" applyFont="1" applyFill="1" applyBorder="1" applyAlignment="1">
      <alignment horizontal="center" vertical="center"/>
    </xf>
    <xf numFmtId="49" fontId="13" fillId="2" borderId="23" xfId="2" applyNumberFormat="1" applyFont="1" applyFill="1" applyBorder="1" applyAlignment="1">
      <alignment horizontal="left" vertical="center" wrapText="1"/>
    </xf>
    <xf numFmtId="3" fontId="13" fillId="2" borderId="40" xfId="6" applyNumberFormat="1" applyFont="1" applyFill="1" applyBorder="1" applyAlignment="1">
      <alignment horizontal="left" vertical="center" wrapText="1"/>
    </xf>
    <xf numFmtId="3" fontId="13" fillId="2" borderId="45" xfId="43" applyNumberFormat="1" applyFont="1" applyFill="1" applyBorder="1" applyAlignment="1">
      <alignment horizontal="center" vertical="center"/>
    </xf>
    <xf numFmtId="3" fontId="13" fillId="2" borderId="27" xfId="43" applyNumberFormat="1" applyFont="1" applyFill="1" applyBorder="1" applyAlignment="1">
      <alignment horizontal="center" vertical="center"/>
    </xf>
    <xf numFmtId="3" fontId="13" fillId="2" borderId="28" xfId="43" applyNumberFormat="1" applyFont="1" applyFill="1" applyBorder="1" applyAlignment="1">
      <alignment horizontal="center" vertical="center"/>
    </xf>
    <xf numFmtId="3" fontId="13" fillId="2" borderId="26" xfId="43" applyNumberFormat="1" applyFont="1" applyFill="1" applyBorder="1" applyAlignment="1">
      <alignment horizontal="center" vertical="center"/>
    </xf>
    <xf numFmtId="3" fontId="13" fillId="2" borderId="29" xfId="43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horizontal="center" vertical="center"/>
    </xf>
    <xf numFmtId="3" fontId="51" fillId="2" borderId="0" xfId="0" applyNumberFormat="1" applyFont="1" applyFill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" fontId="51" fillId="2" borderId="17" xfId="0" applyNumberFormat="1" applyFont="1" applyFill="1" applyBorder="1" applyAlignment="1">
      <alignment horizontal="center" vertical="center"/>
    </xf>
    <xf numFmtId="3" fontId="51" fillId="2" borderId="30" xfId="0" applyNumberFormat="1" applyFont="1" applyFill="1" applyBorder="1" applyAlignment="1">
      <alignment horizontal="center" vertical="center"/>
    </xf>
    <xf numFmtId="3" fontId="51" fillId="2" borderId="58" xfId="0" applyNumberFormat="1" applyFont="1" applyFill="1" applyBorder="1" applyAlignment="1">
      <alignment horizontal="center" vertical="center"/>
    </xf>
    <xf numFmtId="3" fontId="51" fillId="2" borderId="53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13" fillId="2" borderId="20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51" fillId="2" borderId="7" xfId="0" applyNumberFormat="1" applyFont="1" applyFill="1" applyBorder="1" applyAlignment="1">
      <alignment horizontal="center" vertical="center"/>
    </xf>
    <xf numFmtId="3" fontId="13" fillId="2" borderId="56" xfId="0" applyNumberFormat="1" applyFont="1" applyFill="1" applyBorder="1" applyAlignment="1">
      <alignment horizontal="center" vertical="center"/>
    </xf>
    <xf numFmtId="3" fontId="13" fillId="2" borderId="19" xfId="0" applyNumberFormat="1" applyFont="1" applyFill="1" applyBorder="1" applyAlignment="1">
      <alignment horizontal="center" vertical="center"/>
    </xf>
    <xf numFmtId="3" fontId="51" fillId="2" borderId="19" xfId="0" applyNumberFormat="1" applyFont="1" applyFill="1" applyBorder="1" applyAlignment="1">
      <alignment horizontal="center" vertical="center"/>
    </xf>
    <xf numFmtId="3" fontId="51" fillId="2" borderId="1" xfId="44" applyNumberFormat="1" applyFont="1" applyFill="1" applyBorder="1" applyAlignment="1">
      <alignment horizontal="center" vertical="center"/>
    </xf>
    <xf numFmtId="3" fontId="51" fillId="2" borderId="1" xfId="0" applyNumberFormat="1" applyFont="1" applyFill="1" applyBorder="1" applyAlignment="1">
      <alignment horizontal="center" vertical="center"/>
    </xf>
    <xf numFmtId="3" fontId="51" fillId="2" borderId="56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vertical="center" wrapText="1"/>
    </xf>
    <xf numFmtId="0" fontId="13" fillId="2" borderId="59" xfId="0" applyFont="1" applyFill="1" applyBorder="1"/>
    <xf numFmtId="3" fontId="13" fillId="2" borderId="9" xfId="0" applyNumberFormat="1" applyFont="1" applyFill="1" applyBorder="1" applyAlignment="1">
      <alignment horizontal="center" vertical="center"/>
    </xf>
    <xf numFmtId="3" fontId="13" fillId="2" borderId="45" xfId="0" applyNumberFormat="1" applyFont="1" applyFill="1" applyBorder="1" applyAlignment="1">
      <alignment horizontal="center" vertical="center"/>
    </xf>
    <xf numFmtId="3" fontId="13" fillId="2" borderId="27" xfId="0" applyNumberFormat="1" applyFont="1" applyFill="1" applyBorder="1" applyAlignment="1">
      <alignment horizontal="center" vertical="center"/>
    </xf>
    <xf numFmtId="3" fontId="51" fillId="2" borderId="28" xfId="0" applyNumberFormat="1" applyFont="1" applyFill="1" applyBorder="1" applyAlignment="1">
      <alignment horizontal="center" vertical="center"/>
    </xf>
    <xf numFmtId="3" fontId="13" fillId="2" borderId="57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3" fontId="13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horizontal="left" vertical="center"/>
    </xf>
    <xf numFmtId="3" fontId="51" fillId="2" borderId="0" xfId="0" applyNumberFormat="1" applyFont="1" applyFill="1" applyBorder="1" applyAlignment="1">
      <alignment horizontal="center" vertic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75" fillId="0" borderId="1" xfId="15" applyNumberFormat="1" applyFont="1" applyFill="1" applyBorder="1" applyAlignment="1">
      <alignment horizontal="center" vertical="center"/>
    </xf>
    <xf numFmtId="0" fontId="75" fillId="0" borderId="1" xfId="2" applyFont="1" applyFill="1" applyBorder="1" applyAlignment="1">
      <alignment horizontal="left" vertical="center" wrapText="1"/>
    </xf>
    <xf numFmtId="49" fontId="76" fillId="2" borderId="1" xfId="13" applyNumberFormat="1" applyFont="1" applyFill="1" applyBorder="1" applyAlignment="1">
      <alignment horizontal="center" vertical="center" wrapText="1"/>
    </xf>
    <xf numFmtId="0" fontId="76" fillId="2" borderId="1" xfId="13" applyFont="1" applyFill="1" applyBorder="1" applyAlignment="1">
      <alignment vertical="center" wrapText="1"/>
    </xf>
    <xf numFmtId="3" fontId="76" fillId="2" borderId="1" xfId="12" applyNumberFormat="1" applyFont="1" applyFill="1" applyBorder="1" applyProtection="1"/>
    <xf numFmtId="49" fontId="21" fillId="2" borderId="1" xfId="14" applyNumberFormat="1" applyFont="1" applyFill="1" applyBorder="1" applyAlignment="1">
      <alignment horizontal="center" vertical="center" wrapText="1"/>
    </xf>
    <xf numFmtId="0" fontId="24" fillId="2" borderId="1" xfId="14" applyFont="1" applyFill="1" applyBorder="1" applyAlignment="1">
      <alignment horizontal="left" vertical="center" wrapText="1"/>
    </xf>
    <xf numFmtId="0" fontId="21" fillId="2" borderId="1" xfId="14" quotePrefix="1" applyFont="1" applyFill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3" fontId="10" fillId="2" borderId="0" xfId="12" applyNumberFormat="1" applyFill="1" applyProtection="1"/>
    <xf numFmtId="3" fontId="2" fillId="2" borderId="1" xfId="34" applyNumberFormat="1" applyFont="1" applyFill="1" applyBorder="1" applyAlignment="1">
      <alignment horizontal="center" vertical="center" wrapText="1"/>
    </xf>
    <xf numFmtId="3" fontId="9" fillId="2" borderId="1" xfId="14" applyNumberFormat="1" applyFont="1" applyFill="1" applyBorder="1" applyAlignment="1">
      <alignment horizontal="center" vertical="center" wrapText="1"/>
    </xf>
    <xf numFmtId="3" fontId="77" fillId="2" borderId="1" xfId="14" applyNumberFormat="1" applyFont="1" applyFill="1" applyBorder="1" applyAlignment="1">
      <alignment horizontal="center" vertical="center" wrapText="1"/>
    </xf>
    <xf numFmtId="4" fontId="5" fillId="2" borderId="0" xfId="18" applyNumberFormat="1" applyFont="1" applyFill="1" applyAlignment="1">
      <alignment horizontal="right" vertical="center"/>
    </xf>
    <xf numFmtId="3" fontId="9" fillId="2" borderId="5" xfId="14" applyNumberFormat="1" applyFont="1" applyFill="1" applyBorder="1" applyAlignment="1">
      <alignment horizontal="center" vertical="center" wrapText="1"/>
    </xf>
    <xf numFmtId="0" fontId="2" fillId="2" borderId="0" xfId="24" applyFont="1" applyFill="1"/>
    <xf numFmtId="0" fontId="2" fillId="2" borderId="5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/>
    </xf>
    <xf numFmtId="3" fontId="42" fillId="2" borderId="1" xfId="24" applyNumberFormat="1" applyFont="1" applyFill="1" applyBorder="1" applyAlignment="1">
      <alignment horizontal="center" vertical="center"/>
    </xf>
    <xf numFmtId="0" fontId="42" fillId="2" borderId="0" xfId="24" applyFont="1" applyFill="1"/>
    <xf numFmtId="3" fontId="43" fillId="2" borderId="1" xfId="24" applyNumberFormat="1" applyFont="1" applyFill="1" applyBorder="1" applyAlignment="1">
      <alignment horizontal="center" vertical="center"/>
    </xf>
    <xf numFmtId="3" fontId="2" fillId="2" borderId="1" xfId="24" applyNumberFormat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center"/>
    </xf>
    <xf numFmtId="3" fontId="2" fillId="2" borderId="1" xfId="24" applyNumberFormat="1" applyFont="1" applyFill="1" applyBorder="1" applyAlignment="1">
      <alignment horizontal="center"/>
    </xf>
    <xf numFmtId="0" fontId="30" fillId="2" borderId="0" xfId="6" applyFont="1" applyFill="1"/>
    <xf numFmtId="0" fontId="2" fillId="2" borderId="6" xfId="31" applyFont="1" applyFill="1" applyBorder="1" applyAlignment="1">
      <alignment horizontal="center" vertical="center" wrapText="1"/>
    </xf>
    <xf numFmtId="0" fontId="42" fillId="2" borderId="1" xfId="30" applyFont="1" applyFill="1" applyBorder="1" applyAlignment="1">
      <alignment horizontal="center" vertical="center" wrapText="1"/>
    </xf>
    <xf numFmtId="3" fontId="42" fillId="2" borderId="1" xfId="30" applyNumberFormat="1" applyFont="1" applyFill="1" applyBorder="1" applyAlignment="1">
      <alignment horizontal="center" vertical="center"/>
    </xf>
    <xf numFmtId="3" fontId="43" fillId="2" borderId="1" xfId="30" applyNumberFormat="1" applyFont="1" applyFill="1" applyBorder="1" applyAlignment="1">
      <alignment horizontal="center" vertical="center"/>
    </xf>
    <xf numFmtId="0" fontId="42" fillId="2" borderId="1" xfId="6" applyFont="1" applyFill="1" applyBorder="1" applyAlignment="1">
      <alignment horizontal="center"/>
    </xf>
    <xf numFmtId="2" fontId="42" fillId="2" borderId="0" xfId="24" applyNumberFormat="1" applyFont="1" applyFill="1"/>
    <xf numFmtId="2" fontId="2" fillId="2" borderId="0" xfId="24" applyNumberFormat="1" applyFont="1" applyFill="1"/>
    <xf numFmtId="3" fontId="42" fillId="2" borderId="0" xfId="24" applyNumberFormat="1" applyFont="1" applyFill="1" applyBorder="1" applyAlignment="1">
      <alignment horizontal="center" vertical="center"/>
    </xf>
    <xf numFmtId="0" fontId="2" fillId="2" borderId="0" xfId="24" applyFont="1" applyFill="1" applyBorder="1" applyAlignment="1">
      <alignment horizontal="center"/>
    </xf>
    <xf numFmtId="3" fontId="2" fillId="2" borderId="0" xfId="24" applyNumberFormat="1" applyFont="1" applyFill="1" applyBorder="1" applyAlignment="1">
      <alignment horizontal="center" vertical="center"/>
    </xf>
    <xf numFmtId="3" fontId="2" fillId="2" borderId="0" xfId="24" applyNumberFormat="1" applyFont="1" applyFill="1"/>
    <xf numFmtId="0" fontId="2" fillId="2" borderId="0" xfId="24" applyFont="1" applyFill="1" applyAlignment="1"/>
    <xf numFmtId="49" fontId="7" fillId="2" borderId="1" xfId="2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0" fontId="51" fillId="2" borderId="5" xfId="36" applyFont="1" applyFill="1" applyBorder="1" applyAlignment="1">
      <alignment horizontal="center" vertical="center" wrapText="1"/>
    </xf>
    <xf numFmtId="0" fontId="51" fillId="2" borderId="2" xfId="36" applyFont="1" applyFill="1" applyBorder="1" applyAlignment="1">
      <alignment horizontal="center" vertical="center" wrapText="1"/>
    </xf>
    <xf numFmtId="0" fontId="51" fillId="2" borderId="6" xfId="36" applyFont="1" applyFill="1" applyBorder="1" applyAlignment="1">
      <alignment horizontal="center" vertical="center" wrapText="1"/>
    </xf>
    <xf numFmtId="0" fontId="51" fillId="2" borderId="7" xfId="36" applyFont="1" applyFill="1" applyBorder="1" applyAlignment="1">
      <alignment horizontal="left" vertical="center" wrapText="1"/>
    </xf>
    <xf numFmtId="0" fontId="51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2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2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72" fillId="2" borderId="5" xfId="36" applyNumberFormat="1" applyFont="1" applyFill="1" applyBorder="1" applyAlignment="1">
      <alignment horizontal="center" vertical="center" wrapText="1"/>
    </xf>
    <xf numFmtId="3" fontId="72" fillId="2" borderId="6" xfId="36" applyNumberFormat="1" applyFont="1" applyFill="1" applyBorder="1" applyAlignment="1">
      <alignment horizontal="center" vertical="center" wrapText="1"/>
    </xf>
    <xf numFmtId="0" fontId="51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49" fillId="2" borderId="0" xfId="18" applyNumberFormat="1" applyFont="1" applyFill="1" applyAlignment="1">
      <alignment horizontal="center" vertical="center" wrapText="1"/>
    </xf>
    <xf numFmtId="3" fontId="42" fillId="2" borderId="5" xfId="18" applyNumberFormat="1" applyFont="1" applyFill="1" applyBorder="1" applyAlignment="1">
      <alignment horizontal="center" vertical="center" wrapText="1"/>
    </xf>
    <xf numFmtId="3" fontId="42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4" fontId="5" fillId="2" borderId="7" xfId="6" applyNumberFormat="1" applyFont="1" applyFill="1" applyBorder="1" applyAlignment="1">
      <alignment horizontal="center" vertical="center" wrapText="1"/>
    </xf>
    <xf numFmtId="4" fontId="5" fillId="2" borderId="8" xfId="6" applyNumberFormat="1" applyFont="1" applyFill="1" applyBorder="1" applyAlignment="1">
      <alignment horizontal="center" vertical="center" wrapText="1"/>
    </xf>
    <xf numFmtId="4" fontId="5" fillId="2" borderId="9" xfId="6" applyNumberFormat="1" applyFont="1" applyFill="1" applyBorder="1" applyAlignment="1">
      <alignment horizontal="center" vertical="center" wrapText="1"/>
    </xf>
    <xf numFmtId="0" fontId="7" fillId="2" borderId="7" xfId="21" applyFont="1" applyFill="1" applyBorder="1" applyAlignment="1">
      <alignment horizontal="center" vertical="center" wrapText="1"/>
    </xf>
    <xf numFmtId="0" fontId="7" fillId="2" borderId="8" xfId="21" applyFont="1" applyFill="1" applyBorder="1" applyAlignment="1">
      <alignment horizontal="center" vertical="center" wrapText="1"/>
    </xf>
    <xf numFmtId="0" fontId="7" fillId="2" borderId="9" xfId="21" applyFont="1" applyFill="1" applyBorder="1" applyAlignment="1">
      <alignment horizontal="center" vertical="center" wrapText="1"/>
    </xf>
    <xf numFmtId="0" fontId="32" fillId="2" borderId="9" xfId="21" applyFont="1" applyFill="1" applyBorder="1" applyAlignment="1">
      <alignment horizontal="center" vertical="center" wrapText="1"/>
    </xf>
    <xf numFmtId="0" fontId="7" fillId="2" borderId="7" xfId="22" applyFont="1" applyFill="1" applyBorder="1" applyAlignment="1">
      <alignment horizontal="center" vertical="center" wrapText="1"/>
    </xf>
    <xf numFmtId="0" fontId="7" fillId="2" borderId="8" xfId="22" applyFont="1" applyFill="1" applyBorder="1" applyAlignment="1">
      <alignment horizontal="center" vertical="center" wrapText="1"/>
    </xf>
    <xf numFmtId="0" fontId="7" fillId="2" borderId="9" xfId="22" applyFont="1" applyFill="1" applyBorder="1" applyAlignment="1">
      <alignment horizontal="center" vertical="center" wrapText="1"/>
    </xf>
    <xf numFmtId="0" fontId="35" fillId="2" borderId="0" xfId="20" applyFont="1" applyFill="1" applyBorder="1" applyAlignment="1">
      <alignment horizontal="center" vertical="center" wrapText="1"/>
    </xf>
    <xf numFmtId="0" fontId="32" fillId="2" borderId="1" xfId="20" applyFont="1" applyFill="1" applyBorder="1" applyAlignment="1">
      <alignment horizontal="center" vertical="center" wrapText="1"/>
    </xf>
    <xf numFmtId="0" fontId="2" fillId="2" borderId="1" xfId="20" applyFont="1" applyFill="1" applyBorder="1" applyAlignment="1">
      <alignment horizontal="center" vertical="center" wrapText="1"/>
    </xf>
    <xf numFmtId="0" fontId="32" fillId="2" borderId="1" xfId="21" applyFont="1" applyFill="1" applyBorder="1" applyAlignment="1">
      <alignment horizontal="center" vertical="center" wrapText="1"/>
    </xf>
    <xf numFmtId="0" fontId="7" fillId="2" borderId="10" xfId="20" applyFont="1" applyFill="1" applyBorder="1" applyAlignment="1">
      <alignment horizontal="center" vertical="center" wrapText="1"/>
    </xf>
    <xf numFmtId="0" fontId="7" fillId="2" borderId="11" xfId="20" applyFont="1" applyFill="1" applyBorder="1" applyAlignment="1">
      <alignment horizontal="center" vertical="center" wrapText="1"/>
    </xf>
    <xf numFmtId="0" fontId="7" fillId="2" borderId="12" xfId="20" applyFont="1" applyFill="1" applyBorder="1" applyAlignment="1">
      <alignment horizontal="center" vertical="center" wrapText="1"/>
    </xf>
    <xf numFmtId="0" fontId="7" fillId="2" borderId="13" xfId="20" applyFont="1" applyFill="1" applyBorder="1" applyAlignment="1">
      <alignment horizontal="center" vertical="center" wrapText="1"/>
    </xf>
    <xf numFmtId="0" fontId="7" fillId="2" borderId="3" xfId="20" applyFont="1" applyFill="1" applyBorder="1" applyAlignment="1">
      <alignment horizontal="center" vertical="center" wrapText="1"/>
    </xf>
    <xf numFmtId="0" fontId="7" fillId="2" borderId="4" xfId="20" applyFont="1" applyFill="1" applyBorder="1" applyAlignment="1">
      <alignment horizontal="center" vertical="center" wrapText="1"/>
    </xf>
    <xf numFmtId="0" fontId="7" fillId="2" borderId="5" xfId="21" applyFont="1" applyFill="1" applyBorder="1" applyAlignment="1">
      <alignment horizontal="center" vertical="center" wrapText="1"/>
    </xf>
    <xf numFmtId="0" fontId="7" fillId="2" borderId="2" xfId="21" applyFont="1" applyFill="1" applyBorder="1" applyAlignment="1">
      <alignment horizontal="center" vertical="center" wrapText="1"/>
    </xf>
    <xf numFmtId="0" fontId="7" fillId="2" borderId="6" xfId="2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39" fillId="2" borderId="0" xfId="9" applyFont="1" applyFill="1" applyAlignment="1">
      <alignment horizontal="left" vertical="center" wrapText="1"/>
    </xf>
    <xf numFmtId="4" fontId="5" fillId="2" borderId="1" xfId="6" applyNumberFormat="1" applyFont="1" applyFill="1" applyBorder="1" applyAlignment="1">
      <alignment horizontal="center" vertical="center" wrapText="1"/>
    </xf>
    <xf numFmtId="0" fontId="49" fillId="2" borderId="3" xfId="24" applyFont="1" applyFill="1" applyBorder="1" applyAlignment="1">
      <alignment horizontal="center" vertical="center" wrapText="1"/>
    </xf>
    <xf numFmtId="0" fontId="49" fillId="2" borderId="0" xfId="24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center" wrapText="1"/>
    </xf>
    <xf numFmtId="0" fontId="13" fillId="2" borderId="5" xfId="24" applyFont="1" applyFill="1" applyBorder="1" applyAlignment="1">
      <alignment horizontal="center" vertical="center" wrapText="1"/>
    </xf>
    <xf numFmtId="0" fontId="13" fillId="2" borderId="2" xfId="24" applyFont="1" applyFill="1" applyBorder="1" applyAlignment="1">
      <alignment horizontal="center" vertical="center" wrapText="1"/>
    </xf>
    <xf numFmtId="0" fontId="13" fillId="2" borderId="6" xfId="24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top" wrapText="1"/>
    </xf>
    <xf numFmtId="0" fontId="2" fillId="2" borderId="2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7" xfId="24" applyFont="1" applyFill="1" applyBorder="1" applyAlignment="1">
      <alignment horizontal="center" vertical="center" wrapText="1"/>
    </xf>
    <xf numFmtId="0" fontId="2" fillId="2" borderId="9" xfId="24" applyFont="1" applyFill="1" applyBorder="1" applyAlignment="1">
      <alignment horizontal="center" vertical="center" wrapText="1"/>
    </xf>
    <xf numFmtId="0" fontId="2" fillId="2" borderId="5" xfId="24" applyFont="1" applyFill="1" applyBorder="1" applyAlignment="1">
      <alignment horizontal="center" vertical="center" wrapText="1"/>
    </xf>
    <xf numFmtId="0" fontId="2" fillId="2" borderId="8" xfId="24" applyFont="1" applyFill="1" applyBorder="1" applyAlignment="1">
      <alignment horizontal="center" vertical="center" wrapText="1"/>
    </xf>
    <xf numFmtId="3" fontId="13" fillId="2" borderId="5" xfId="46" applyNumberFormat="1" applyFont="1" applyFill="1" applyBorder="1" applyAlignment="1">
      <alignment horizontal="center" vertical="center" wrapText="1"/>
    </xf>
    <xf numFmtId="3" fontId="13" fillId="2" borderId="2" xfId="46" applyNumberFormat="1" applyFont="1" applyFill="1" applyBorder="1" applyAlignment="1">
      <alignment horizontal="center" vertical="center" wrapText="1"/>
    </xf>
    <xf numFmtId="3" fontId="13" fillId="2" borderId="6" xfId="46" applyNumberFormat="1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2" fillId="2" borderId="6" xfId="25" applyFont="1" applyFill="1" applyBorder="1" applyAlignment="1">
      <alignment horizontal="center" vertical="center" wrapText="1"/>
    </xf>
    <xf numFmtId="0" fontId="2" fillId="2" borderId="5" xfId="30" applyFont="1" applyFill="1" applyBorder="1" applyAlignment="1">
      <alignment horizontal="center" vertical="center" wrapText="1"/>
    </xf>
    <xf numFmtId="0" fontId="2" fillId="2" borderId="6" xfId="30" applyFont="1" applyFill="1" applyBorder="1" applyAlignment="1">
      <alignment horizontal="center" vertical="center" wrapText="1"/>
    </xf>
    <xf numFmtId="0" fontId="2" fillId="2" borderId="1" xfId="31" applyFont="1" applyFill="1" applyBorder="1" applyAlignment="1">
      <alignment horizontal="center" vertical="center" wrapText="1"/>
    </xf>
    <xf numFmtId="0" fontId="49" fillId="2" borderId="3" xfId="30" applyFont="1" applyFill="1" applyBorder="1" applyAlignment="1">
      <alignment horizontal="center" vertical="center" wrapText="1"/>
    </xf>
    <xf numFmtId="0" fontId="2" fillId="2" borderId="1" xfId="30" applyFont="1" applyFill="1" applyBorder="1" applyAlignment="1">
      <alignment horizontal="center" vertical="center" wrapText="1"/>
    </xf>
    <xf numFmtId="0" fontId="13" fillId="2" borderId="5" xfId="30" applyFont="1" applyFill="1" applyBorder="1" applyAlignment="1">
      <alignment horizontal="center" vertical="center" wrapText="1"/>
    </xf>
    <xf numFmtId="0" fontId="13" fillId="2" borderId="2" xfId="30" applyFont="1" applyFill="1" applyBorder="1" applyAlignment="1">
      <alignment horizontal="center" vertical="center" wrapText="1"/>
    </xf>
    <xf numFmtId="0" fontId="2" fillId="2" borderId="7" xfId="30" applyFont="1" applyFill="1" applyBorder="1" applyAlignment="1">
      <alignment horizontal="center" vertical="center" wrapText="1"/>
    </xf>
    <xf numFmtId="0" fontId="2" fillId="2" borderId="8" xfId="30" applyFont="1" applyFill="1" applyBorder="1" applyAlignment="1">
      <alignment horizontal="center" vertical="center" wrapText="1"/>
    </xf>
    <xf numFmtId="0" fontId="2" fillId="2" borderId="9" xfId="30" applyFont="1" applyFill="1" applyBorder="1" applyAlignment="1">
      <alignment horizontal="center" vertical="center" wrapText="1"/>
    </xf>
    <xf numFmtId="0" fontId="42" fillId="2" borderId="5" xfId="9" applyFont="1" applyFill="1" applyBorder="1" applyAlignment="1">
      <alignment horizontal="center" vertical="center"/>
    </xf>
    <xf numFmtId="0" fontId="42" fillId="2" borderId="2" xfId="9" applyFont="1" applyFill="1" applyBorder="1" applyAlignment="1">
      <alignment horizontal="center" vertical="center"/>
    </xf>
    <xf numFmtId="0" fontId="42" fillId="2" borderId="6" xfId="9" applyFont="1" applyFill="1" applyBorder="1" applyAlignment="1">
      <alignment horizontal="center" vertical="center"/>
    </xf>
    <xf numFmtId="49" fontId="42" fillId="2" borderId="5" xfId="2" applyNumberFormat="1" applyFont="1" applyFill="1" applyBorder="1" applyAlignment="1">
      <alignment horizontal="center" vertical="center"/>
    </xf>
    <xf numFmtId="49" fontId="42" fillId="2" borderId="2" xfId="2" applyNumberFormat="1" applyFont="1" applyFill="1" applyBorder="1" applyAlignment="1">
      <alignment horizontal="center" vertical="center"/>
    </xf>
    <xf numFmtId="49" fontId="42" fillId="2" borderId="6" xfId="2" applyNumberFormat="1" applyFont="1" applyFill="1" applyBorder="1" applyAlignment="1">
      <alignment horizontal="center" vertical="center"/>
    </xf>
    <xf numFmtId="0" fontId="49" fillId="2" borderId="3" xfId="27" applyFont="1" applyFill="1" applyBorder="1" applyAlignment="1">
      <alignment horizontal="center" vertical="center" wrapText="1"/>
    </xf>
    <xf numFmtId="0" fontId="2" fillId="2" borderId="5" xfId="28" applyFont="1" applyFill="1" applyBorder="1" applyAlignment="1">
      <alignment horizontal="center" vertical="center" wrapText="1"/>
    </xf>
    <xf numFmtId="0" fontId="2" fillId="2" borderId="2" xfId="28" applyFont="1" applyFill="1" applyBorder="1" applyAlignment="1">
      <alignment horizontal="center" vertical="center" wrapText="1"/>
    </xf>
    <xf numFmtId="0" fontId="2" fillId="2" borderId="6" xfId="28" applyFont="1" applyFill="1" applyBorder="1" applyAlignment="1">
      <alignment horizontal="center" vertical="center" wrapText="1"/>
    </xf>
    <xf numFmtId="0" fontId="2" fillId="2" borderId="1" xfId="28" applyFont="1" applyFill="1" applyBorder="1" applyAlignment="1">
      <alignment horizontal="center" vertical="center"/>
    </xf>
    <xf numFmtId="0" fontId="2" fillId="2" borderId="1" xfId="28" applyFont="1" applyFill="1" applyBorder="1" applyAlignment="1">
      <alignment horizontal="center" vertical="center" wrapText="1"/>
    </xf>
    <xf numFmtId="0" fontId="14" fillId="0" borderId="0" xfId="35" applyFont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51" fillId="6" borderId="6" xfId="6" applyFont="1" applyFill="1" applyBorder="1" applyAlignment="1">
      <alignment horizontal="center" vertical="center"/>
    </xf>
    <xf numFmtId="0" fontId="51" fillId="6" borderId="13" xfId="6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7" fillId="0" borderId="10" xfId="9" applyFont="1" applyFill="1" applyBorder="1" applyAlignment="1">
      <alignment horizontal="center" vertical="center" wrapText="1"/>
    </xf>
    <xf numFmtId="0" fontId="7" fillId="0" borderId="12" xfId="9" applyFont="1" applyFill="1" applyBorder="1" applyAlignment="1">
      <alignment horizontal="center" vertical="center" wrapText="1"/>
    </xf>
    <xf numFmtId="0" fontId="3" fillId="2" borderId="0" xfId="43" applyFont="1" applyFill="1" applyBorder="1" applyAlignment="1">
      <alignment horizontal="center" vertical="center" wrapText="1"/>
    </xf>
    <xf numFmtId="0" fontId="13" fillId="2" borderId="32" xfId="43" applyFont="1" applyFill="1" applyBorder="1" applyAlignment="1">
      <alignment horizontal="center" vertical="center" wrapText="1"/>
    </xf>
    <xf numFmtId="0" fontId="13" fillId="2" borderId="31" xfId="43" applyFont="1" applyFill="1" applyBorder="1" applyAlignment="1">
      <alignment horizontal="center" vertical="center" wrapText="1"/>
    </xf>
    <xf numFmtId="0" fontId="13" fillId="2" borderId="24" xfId="43" applyFont="1" applyFill="1" applyBorder="1" applyAlignment="1">
      <alignment horizontal="center" vertical="center" wrapText="1"/>
    </xf>
    <xf numFmtId="0" fontId="13" fillId="2" borderId="15" xfId="43" applyFont="1" applyFill="1" applyBorder="1" applyAlignment="1">
      <alignment horizontal="center" vertical="center" wrapText="1"/>
    </xf>
    <xf numFmtId="0" fontId="13" fillId="2" borderId="2" xfId="43" applyFont="1" applyFill="1" applyBorder="1" applyAlignment="1">
      <alignment horizontal="center" vertical="center" wrapText="1"/>
    </xf>
    <xf numFmtId="0" fontId="13" fillId="2" borderId="6" xfId="43" applyFont="1" applyFill="1" applyBorder="1" applyAlignment="1">
      <alignment horizontal="center" vertical="center" wrapText="1"/>
    </xf>
    <xf numFmtId="0" fontId="13" fillId="2" borderId="33" xfId="43" applyFont="1" applyFill="1" applyBorder="1" applyAlignment="1">
      <alignment horizontal="center" vertical="center" wrapText="1"/>
    </xf>
    <xf numFmtId="0" fontId="13" fillId="2" borderId="37" xfId="43" applyFont="1" applyFill="1" applyBorder="1" applyAlignment="1">
      <alignment horizontal="center" vertical="center" wrapText="1"/>
    </xf>
    <xf numFmtId="0" fontId="13" fillId="2" borderId="25" xfId="43" applyFont="1" applyFill="1" applyBorder="1" applyAlignment="1">
      <alignment horizontal="center" vertical="center" wrapText="1"/>
    </xf>
    <xf numFmtId="0" fontId="42" fillId="2" borderId="34" xfId="43" applyFont="1" applyFill="1" applyBorder="1" applyAlignment="1">
      <alignment horizontal="center" vertical="center" wrapText="1"/>
    </xf>
    <xf numFmtId="0" fontId="42" fillId="2" borderId="35" xfId="43" applyFont="1" applyFill="1" applyBorder="1" applyAlignment="1">
      <alignment horizontal="center" vertical="center" wrapText="1"/>
    </xf>
    <xf numFmtId="0" fontId="42" fillId="2" borderId="36" xfId="43" applyFont="1" applyFill="1" applyBorder="1" applyAlignment="1">
      <alignment horizontal="center" vertical="center" wrapText="1"/>
    </xf>
    <xf numFmtId="0" fontId="42" fillId="2" borderId="38" xfId="43" applyFont="1" applyFill="1" applyBorder="1" applyAlignment="1">
      <alignment horizontal="center" vertical="center" wrapText="1"/>
    </xf>
    <xf numFmtId="0" fontId="42" fillId="2" borderId="4" xfId="43" applyFont="1" applyFill="1" applyBorder="1" applyAlignment="1">
      <alignment horizontal="center" vertical="center" wrapText="1"/>
    </xf>
    <xf numFmtId="0" fontId="42" fillId="2" borderId="6" xfId="43" applyFont="1" applyFill="1" applyBorder="1" applyAlignment="1">
      <alignment horizontal="center"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42" fillId="2" borderId="39" xfId="43" applyFont="1" applyFill="1" applyBorder="1" applyAlignment="1">
      <alignment horizontal="center" vertical="center"/>
    </xf>
    <xf numFmtId="0" fontId="42" fillId="2" borderId="35" xfId="43" applyFont="1" applyFill="1" applyBorder="1" applyAlignment="1">
      <alignment horizontal="center" vertical="center"/>
    </xf>
    <xf numFmtId="0" fontId="42" fillId="2" borderId="36" xfId="43" applyFont="1" applyFill="1" applyBorder="1" applyAlignment="1">
      <alignment horizontal="center" vertical="center"/>
    </xf>
    <xf numFmtId="0" fontId="42" fillId="2" borderId="5" xfId="43" applyFont="1" applyFill="1" applyBorder="1" applyAlignment="1">
      <alignment horizontal="center" vertical="center" wrapText="1"/>
    </xf>
    <xf numFmtId="0" fontId="42" fillId="2" borderId="2" xfId="43" applyFont="1" applyFill="1" applyBorder="1" applyAlignment="1">
      <alignment horizontal="center" vertical="center" wrapText="1"/>
    </xf>
    <xf numFmtId="0" fontId="42" fillId="2" borderId="7" xfId="43" applyFont="1" applyFill="1" applyBorder="1" applyAlignment="1">
      <alignment horizontal="center" vertical="center" wrapText="1"/>
    </xf>
    <xf numFmtId="0" fontId="42" fillId="2" borderId="7" xfId="0" applyFont="1" applyFill="1" applyBorder="1" applyAlignment="1">
      <alignment horizontal="center" vertical="center" wrapText="1"/>
    </xf>
    <xf numFmtId="0" fontId="42" fillId="2" borderId="24" xfId="43" applyFont="1" applyFill="1" applyBorder="1" applyAlignment="1">
      <alignment horizontal="center" vertical="center" wrapText="1"/>
    </xf>
    <xf numFmtId="0" fontId="42" fillId="2" borderId="13" xfId="43" applyFont="1" applyFill="1" applyBorder="1" applyAlignment="1">
      <alignment horizontal="center" vertical="center" wrapText="1"/>
    </xf>
    <xf numFmtId="0" fontId="42" fillId="2" borderId="17" xfId="43" applyFont="1" applyFill="1" applyBorder="1" applyAlignment="1">
      <alignment horizontal="center" vertical="center" wrapText="1"/>
    </xf>
    <xf numFmtId="0" fontId="42" fillId="2" borderId="18" xfId="43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42" fillId="2" borderId="22" xfId="43" applyFont="1" applyFill="1" applyBorder="1" applyAlignment="1">
      <alignment horizontal="center" vertical="center" wrapText="1"/>
    </xf>
    <xf numFmtId="0" fontId="62" fillId="2" borderId="24" xfId="0" applyFont="1" applyFill="1" applyBorder="1" applyAlignment="1">
      <alignment horizontal="center" vertical="center" wrapText="1"/>
    </xf>
    <xf numFmtId="0" fontId="42" fillId="2" borderId="40" xfId="43" applyFont="1" applyFill="1" applyBorder="1" applyAlignment="1">
      <alignment horizontal="center" vertical="center" wrapText="1"/>
    </xf>
    <xf numFmtId="0" fontId="62" fillId="2" borderId="25" xfId="0" applyFont="1" applyFill="1" applyBorder="1" applyAlignment="1">
      <alignment horizontal="center" vertical="center" wrapText="1"/>
    </xf>
    <xf numFmtId="0" fontId="13" fillId="2" borderId="19" xfId="6" applyFont="1" applyFill="1" applyBorder="1" applyAlignment="1">
      <alignment horizontal="center" vertical="center" wrapText="1"/>
    </xf>
    <xf numFmtId="0" fontId="63" fillId="2" borderId="19" xfId="0" applyFont="1" applyFill="1" applyBorder="1" applyAlignment="1">
      <alignment horizontal="center" vertical="center" wrapText="1"/>
    </xf>
    <xf numFmtId="49" fontId="13" fillId="2" borderId="5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4" fontId="51" fillId="2" borderId="20" xfId="6" applyNumberFormat="1" applyFont="1" applyFill="1" applyBorder="1" applyAlignment="1">
      <alignment horizontal="center" vertical="center" wrapText="1"/>
    </xf>
    <xf numFmtId="4" fontId="51" fillId="2" borderId="8" xfId="6" applyNumberFormat="1" applyFont="1" applyFill="1" applyBorder="1" applyAlignment="1">
      <alignment horizontal="center" vertical="center" wrapText="1"/>
    </xf>
    <xf numFmtId="4" fontId="51" fillId="2" borderId="21" xfId="6" applyNumberFormat="1" applyFont="1" applyFill="1" applyBorder="1" applyAlignment="1">
      <alignment horizontal="center" vertical="center" wrapText="1"/>
    </xf>
    <xf numFmtId="0" fontId="51" fillId="2" borderId="14" xfId="6" applyFont="1" applyFill="1" applyBorder="1" applyAlignment="1">
      <alignment horizontal="center" vertical="center"/>
    </xf>
    <xf numFmtId="0" fontId="51" fillId="2" borderId="30" xfId="6" applyFont="1" applyFill="1" applyBorder="1" applyAlignment="1">
      <alignment horizontal="center" vertical="center"/>
    </xf>
    <xf numFmtId="0" fontId="51" fillId="2" borderId="46" xfId="6" applyFont="1" applyFill="1" applyBorder="1" applyAlignment="1">
      <alignment horizontal="center" vertical="center"/>
    </xf>
    <xf numFmtId="0" fontId="13" fillId="2" borderId="22" xfId="6" applyFont="1" applyFill="1" applyBorder="1" applyAlignment="1">
      <alignment horizontal="center" vertical="center" wrapText="1"/>
    </xf>
    <xf numFmtId="0" fontId="63" fillId="2" borderId="24" xfId="0" applyFont="1" applyFill="1" applyBorder="1" applyAlignment="1">
      <alignment horizontal="center" vertical="center" wrapText="1"/>
    </xf>
    <xf numFmtId="0" fontId="63" fillId="2" borderId="31" xfId="0" applyFont="1" applyFill="1" applyBorder="1" applyAlignment="1">
      <alignment horizontal="center" vertical="center" wrapText="1"/>
    </xf>
    <xf numFmtId="0" fontId="42" fillId="2" borderId="10" xfId="43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51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0" fontId="47" fillId="2" borderId="1" xfId="32" applyFont="1" applyFill="1" applyBorder="1" applyAlignment="1">
      <alignment horizontal="center" vertical="center" wrapText="1"/>
    </xf>
    <xf numFmtId="4" fontId="46" fillId="2" borderId="1" xfId="32" applyNumberFormat="1" applyFont="1" applyFill="1" applyBorder="1" applyAlignment="1">
      <alignment horizontal="center" vertical="center" wrapText="1"/>
    </xf>
    <xf numFmtId="0" fontId="45" fillId="2" borderId="1" xfId="32" applyFont="1" applyFill="1" applyBorder="1" applyAlignment="1">
      <alignment horizontal="center" vertical="center" wrapText="1"/>
    </xf>
    <xf numFmtId="0" fontId="46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5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45" applyFont="1" applyFill="1" applyBorder="1" applyAlignment="1">
      <alignment horizontal="center" vertical="center" wrapText="1"/>
    </xf>
    <xf numFmtId="0" fontId="2" fillId="0" borderId="6" xfId="45" applyFont="1" applyFill="1" applyBorder="1" applyAlignment="1">
      <alignment horizontal="center" vertical="center" wrapText="1"/>
    </xf>
    <xf numFmtId="0" fontId="50" fillId="0" borderId="0" xfId="13" applyFont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1" fillId="2" borderId="5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6" xfId="0" applyNumberFormat="1" applyFont="1" applyFill="1" applyBorder="1" applyAlignment="1">
      <alignment horizontal="center" vertical="center" wrapText="1"/>
    </xf>
    <xf numFmtId="3" fontId="41" fillId="2" borderId="7" xfId="0" applyNumberFormat="1" applyFont="1" applyFill="1" applyBorder="1" applyAlignment="1" applyProtection="1">
      <alignment horizontal="center" vertical="center"/>
      <protection locked="0"/>
    </xf>
    <xf numFmtId="3" fontId="41" fillId="2" borderId="8" xfId="0" applyNumberFormat="1" applyFont="1" applyFill="1" applyBorder="1" applyAlignment="1" applyProtection="1">
      <alignment horizontal="center" vertical="center"/>
      <protection locked="0"/>
    </xf>
    <xf numFmtId="3" fontId="41" fillId="2" borderId="9" xfId="0" applyNumberFormat="1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0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5" xfId="0" applyNumberFormat="1" applyFont="1" applyFill="1" applyBorder="1" applyAlignment="1">
      <alignment horizontal="center" vertical="center" wrapText="1"/>
    </xf>
    <xf numFmtId="3" fontId="60" fillId="2" borderId="6" xfId="0" applyNumberFormat="1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1" fillId="0" borderId="7" xfId="0" applyFont="1" applyBorder="1" applyAlignment="1">
      <alignment vertical="center" wrapText="1"/>
    </xf>
    <xf numFmtId="0" fontId="62" fillId="0" borderId="8" xfId="0" applyFont="1" applyBorder="1" applyAlignment="1">
      <alignment vertical="center" wrapText="1"/>
    </xf>
    <xf numFmtId="0" fontId="62" fillId="0" borderId="9" xfId="0" applyFont="1" applyBorder="1" applyAlignment="1">
      <alignment vertical="center" wrapText="1"/>
    </xf>
    <xf numFmtId="0" fontId="5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51" fillId="0" borderId="24" xfId="0" applyFont="1" applyFill="1" applyBorder="1" applyAlignment="1">
      <alignment horizontal="left" vertical="center"/>
    </xf>
    <xf numFmtId="0" fontId="51" fillId="0" borderId="6" xfId="0" applyFont="1" applyFill="1" applyBorder="1" applyAlignment="1">
      <alignment horizontal="left" vertical="center"/>
    </xf>
    <xf numFmtId="0" fontId="51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42" fillId="0" borderId="30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48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3" fontId="42" fillId="0" borderId="14" xfId="14" applyNumberFormat="1" applyFont="1" applyFill="1" applyBorder="1" applyAlignment="1">
      <alignment horizontal="center" vertical="center" wrapText="1"/>
    </xf>
    <xf numFmtId="3" fontId="42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2" fillId="0" borderId="47" xfId="0" applyNumberFormat="1" applyFont="1" applyFill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2" fillId="0" borderId="14" xfId="0" applyNumberFormat="1" applyFont="1" applyFill="1" applyBorder="1" applyAlignment="1">
      <alignment horizontal="center" vertical="center" wrapText="1"/>
    </xf>
    <xf numFmtId="3" fontId="42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2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2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2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2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73" fillId="2" borderId="24" xfId="0" applyFont="1" applyFill="1" applyBorder="1" applyAlignment="1">
      <alignment horizontal="center" vertical="center" wrapText="1"/>
    </xf>
    <xf numFmtId="3" fontId="2" fillId="2" borderId="54" xfId="0" applyNumberFormat="1" applyFont="1" applyFill="1" applyBorder="1" applyAlignment="1">
      <alignment horizontal="center" vertical="center" wrapText="1"/>
    </xf>
    <xf numFmtId="3" fontId="2" fillId="2" borderId="55" xfId="0" applyNumberFormat="1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horizontal="left" vertical="center"/>
    </xf>
    <xf numFmtId="0" fontId="51" fillId="2" borderId="6" xfId="0" applyFont="1" applyFill="1" applyBorder="1" applyAlignment="1">
      <alignment horizontal="left" vertical="center"/>
    </xf>
    <xf numFmtId="0" fontId="51" fillId="2" borderId="25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7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6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4" xfId="44" applyNumberFormat="1" applyFont="1" applyFill="1" applyBorder="1" applyAlignment="1">
      <alignment horizontal="center" vertical="center" wrapText="1"/>
    </xf>
    <xf numFmtId="3" fontId="2" fillId="2" borderId="30" xfId="44" applyNumberFormat="1" applyFont="1" applyFill="1" applyBorder="1" applyAlignment="1">
      <alignment horizontal="center" vertical="center" wrapText="1"/>
    </xf>
    <xf numFmtId="0" fontId="65" fillId="2" borderId="30" xfId="0" applyFont="1" applyFill="1" applyBorder="1" applyAlignment="1">
      <alignment horizontal="center" vertical="center" wrapText="1"/>
    </xf>
    <xf numFmtId="0" fontId="65" fillId="2" borderId="16" xfId="0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left" vertical="center"/>
    </xf>
    <xf numFmtId="0" fontId="51" fillId="0" borderId="30" xfId="0" applyFont="1" applyFill="1" applyBorder="1" applyAlignment="1">
      <alignment horizontal="left" vertical="center"/>
    </xf>
    <xf numFmtId="0" fontId="51" fillId="0" borderId="4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5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8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1" xfId="45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3 2" xfId="47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3 2" xfId="46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77;&#1088;&#1077;&#1088;&#1072;&#1089;&#1087;&#1088;%20&#1050;&#1057;&#1043;/&#1084;&#1072;&#1088;&#1090;%20&#1086;&#1090;&#1087;&#1091;&#1089;&#1082;/minzdrav/&#1056;&#1072;&#1073;&#1086;&#1090;&#1072;/3.VBA/2017-&#1050;&#1057;&#1043;-&#1052;&#1080;&#1085;&#1079;&#1076;&#1088;&#1072;&#1074;/&#1050;&#1057;-&#1050;&#1055;/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0;&#1057;/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ce_1\Desktop\2026&#1075;&#1086;&#1076;\&#1082;%20&#1087;&#1088;&#1086;&#1090;&#1086;&#1082;&#1086;&#1083;&#1091;%209-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&#1099;/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/&#1046;&#1077;&#1088;&#1085;&#1086;&#1074;&#1082;&#1086;&#1074;&#1072;%20&#1045;&#1042;/&#1054;&#1073;&#1098;&#1077;&#1084;&#1099;%20&#1084;&#1077;&#1076;&#1080;&#1094;&#1080;&#1085;&#1089;&#1082;&#1086;&#1081;%20&#1087;&#1086;&#1084;&#1086;&#1097;&#1080;%20&#1085;&#1072;%202019%20&#1075;/&#1040;&#1055;&#1059;%202019/&#1053;&#1077;&#1086;&#1090;&#1083;&#1086;&#1078;&#1082;&#1072;/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  <sheetName val="Раз.пос.(Пр.7-26)  "/>
      <sheetName val="Откл.Пр.7-26-Пр.6-26 "/>
      <sheetName val="Раз.пос.(Пр.8-26) "/>
    </sheetNames>
    <sheetDataSet>
      <sheetData sheetId="0"/>
      <sheetData sheetId="1"/>
      <sheetData sheetId="2"/>
      <sheetData sheetId="3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  <cell r="S9">
            <v>1428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6772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4392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10000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4"/>
      <sheetData sheetId="5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  <cell r="S9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  <sheetName val="Пос. ср.мед.пер. (Пр.8-26)  "/>
    </sheetNames>
    <sheetDataSet>
      <sheetData sheetId="0" refreshError="1"/>
      <sheetData sheetId="1">
        <row r="8">
          <cell r="E8">
            <v>0</v>
          </cell>
          <cell r="F8">
            <v>0</v>
          </cell>
          <cell r="G8">
            <v>0</v>
          </cell>
        </row>
      </sheetData>
      <sheetData sheetId="2" refreshError="1"/>
      <sheetData sheetId="3" refreshError="1"/>
      <sheetData sheetId="4">
        <row r="8">
          <cell r="E8">
            <v>0</v>
          </cell>
          <cell r="F8">
            <v>0</v>
          </cell>
          <cell r="G8">
            <v>0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  <sheetName val="Пос с др.целями(Пр.8-26)  "/>
    </sheetNames>
    <sheetDataSet>
      <sheetData sheetId="0" refreshError="1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2" refreshError="1"/>
      <sheetData sheetId="3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П (16-25)"/>
      <sheetName val="СМП (9-26о)"/>
      <sheetName val=" СМП "/>
      <sheetName val=" СМП  (2)"/>
      <sheetName val=" СМП  (9-26 ф)"/>
      <sheetName val=" СМП  (9-26 ф)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zoomScale="80" zoomScaleNormal="80" workbookViewId="0">
      <pane xSplit="4" ySplit="8" topLeftCell="E90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K88" sqref="K88"/>
    </sheetView>
  </sheetViews>
  <sheetFormatPr defaultRowHeight="12.75" x14ac:dyDescent="0.2"/>
  <cols>
    <col min="1" max="1" width="6.28515625" style="174" customWidth="1"/>
    <col min="2" max="2" width="10.28515625" style="174" customWidth="1"/>
    <col min="3" max="3" width="35.7109375" style="174" customWidth="1"/>
    <col min="4" max="4" width="9.140625" style="174" customWidth="1"/>
    <col min="5" max="5" width="11.5703125" style="174" customWidth="1"/>
    <col min="6" max="6" width="10.42578125" style="174" customWidth="1"/>
    <col min="7" max="7" width="8.5703125" style="174" customWidth="1"/>
    <col min="8" max="8" width="8.140625" style="174" customWidth="1"/>
    <col min="9" max="9" width="8.85546875" style="174" customWidth="1"/>
    <col min="10" max="10" width="14.28515625" style="174" customWidth="1"/>
    <col min="11" max="11" width="12.42578125" style="174" customWidth="1"/>
    <col min="12" max="12" width="13.140625" style="174" customWidth="1"/>
    <col min="13" max="13" width="20.42578125" style="174" customWidth="1"/>
    <col min="14" max="14" width="14" style="174" customWidth="1"/>
    <col min="15" max="15" width="8.140625" style="208" customWidth="1"/>
    <col min="16" max="16" width="11" style="208" customWidth="1"/>
    <col min="17" max="17" width="12.140625" style="208" customWidth="1"/>
    <col min="18" max="18" width="16.42578125" style="208" customWidth="1"/>
    <col min="19" max="19" width="18.7109375" style="208" customWidth="1"/>
    <col min="20" max="20" width="17" style="208" customWidth="1"/>
    <col min="21" max="21" width="10.7109375" style="208" customWidth="1"/>
    <col min="22" max="22" width="11.140625" style="174" customWidth="1"/>
    <col min="23" max="23" width="12.85546875" style="174" customWidth="1"/>
    <col min="24" max="24" width="9.140625" style="175" customWidth="1"/>
    <col min="25" max="25" width="9.140625" style="174"/>
    <col min="26" max="26" width="11.140625" style="174" customWidth="1"/>
    <col min="27" max="27" width="27.7109375" style="174" customWidth="1"/>
    <col min="28" max="28" width="12" style="174" customWidth="1"/>
    <col min="29" max="30" width="12.7109375" style="174" customWidth="1"/>
    <col min="31" max="260" width="9.140625" style="174"/>
    <col min="261" max="261" width="5.5703125" style="174" customWidth="1"/>
    <col min="262" max="262" width="11.5703125" style="174" customWidth="1"/>
    <col min="263" max="263" width="35.7109375" style="174" customWidth="1"/>
    <col min="264" max="264" width="9.140625" style="174" customWidth="1"/>
    <col min="265" max="265" width="11.5703125" style="174" customWidth="1"/>
    <col min="266" max="266" width="15.7109375" style="174" customWidth="1"/>
    <col min="267" max="267" width="13.42578125" style="174" customWidth="1"/>
    <col min="268" max="268" width="19.140625" style="174" customWidth="1"/>
    <col min="269" max="269" width="8.140625" style="174" customWidth="1"/>
    <col min="270" max="270" width="12.140625" style="174" customWidth="1"/>
    <col min="271" max="271" width="14.42578125" style="174" customWidth="1"/>
    <col min="272" max="272" width="13.5703125" style="174" customWidth="1"/>
    <col min="273" max="516" width="9.140625" style="174"/>
    <col min="517" max="517" width="5.5703125" style="174" customWidth="1"/>
    <col min="518" max="518" width="11.5703125" style="174" customWidth="1"/>
    <col min="519" max="519" width="35.7109375" style="174" customWidth="1"/>
    <col min="520" max="520" width="9.140625" style="174" customWidth="1"/>
    <col min="521" max="521" width="11.5703125" style="174" customWidth="1"/>
    <col min="522" max="522" width="15.7109375" style="174" customWidth="1"/>
    <col min="523" max="523" width="13.42578125" style="174" customWidth="1"/>
    <col min="524" max="524" width="19.140625" style="174" customWidth="1"/>
    <col min="525" max="525" width="8.140625" style="174" customWidth="1"/>
    <col min="526" max="526" width="12.140625" style="174" customWidth="1"/>
    <col min="527" max="527" width="14.42578125" style="174" customWidth="1"/>
    <col min="528" max="528" width="13.5703125" style="174" customWidth="1"/>
    <col min="529" max="772" width="9.140625" style="174"/>
    <col min="773" max="773" width="5.5703125" style="174" customWidth="1"/>
    <col min="774" max="774" width="11.5703125" style="174" customWidth="1"/>
    <col min="775" max="775" width="35.7109375" style="174" customWidth="1"/>
    <col min="776" max="776" width="9.140625" style="174" customWidth="1"/>
    <col min="777" max="777" width="11.5703125" style="174" customWidth="1"/>
    <col min="778" max="778" width="15.7109375" style="174" customWidth="1"/>
    <col min="779" max="779" width="13.42578125" style="174" customWidth="1"/>
    <col min="780" max="780" width="19.140625" style="174" customWidth="1"/>
    <col min="781" max="781" width="8.140625" style="174" customWidth="1"/>
    <col min="782" max="782" width="12.140625" style="174" customWidth="1"/>
    <col min="783" max="783" width="14.42578125" style="174" customWidth="1"/>
    <col min="784" max="784" width="13.5703125" style="174" customWidth="1"/>
    <col min="785" max="1028" width="9.140625" style="174"/>
    <col min="1029" max="1029" width="5.5703125" style="174" customWidth="1"/>
    <col min="1030" max="1030" width="11.5703125" style="174" customWidth="1"/>
    <col min="1031" max="1031" width="35.7109375" style="174" customWidth="1"/>
    <col min="1032" max="1032" width="9.140625" style="174" customWidth="1"/>
    <col min="1033" max="1033" width="11.5703125" style="174" customWidth="1"/>
    <col min="1034" max="1034" width="15.7109375" style="174" customWidth="1"/>
    <col min="1035" max="1035" width="13.42578125" style="174" customWidth="1"/>
    <col min="1036" max="1036" width="19.140625" style="174" customWidth="1"/>
    <col min="1037" max="1037" width="8.140625" style="174" customWidth="1"/>
    <col min="1038" max="1038" width="12.140625" style="174" customWidth="1"/>
    <col min="1039" max="1039" width="14.42578125" style="174" customWidth="1"/>
    <col min="1040" max="1040" width="13.5703125" style="174" customWidth="1"/>
    <col min="1041" max="1284" width="9.140625" style="174"/>
    <col min="1285" max="1285" width="5.5703125" style="174" customWidth="1"/>
    <col min="1286" max="1286" width="11.5703125" style="174" customWidth="1"/>
    <col min="1287" max="1287" width="35.7109375" style="174" customWidth="1"/>
    <col min="1288" max="1288" width="9.140625" style="174" customWidth="1"/>
    <col min="1289" max="1289" width="11.5703125" style="174" customWidth="1"/>
    <col min="1290" max="1290" width="15.7109375" style="174" customWidth="1"/>
    <col min="1291" max="1291" width="13.42578125" style="174" customWidth="1"/>
    <col min="1292" max="1292" width="19.140625" style="174" customWidth="1"/>
    <col min="1293" max="1293" width="8.140625" style="174" customWidth="1"/>
    <col min="1294" max="1294" width="12.140625" style="174" customWidth="1"/>
    <col min="1295" max="1295" width="14.42578125" style="174" customWidth="1"/>
    <col min="1296" max="1296" width="13.5703125" style="174" customWidth="1"/>
    <col min="1297" max="1540" width="9.140625" style="174"/>
    <col min="1541" max="1541" width="5.5703125" style="174" customWidth="1"/>
    <col min="1542" max="1542" width="11.5703125" style="174" customWidth="1"/>
    <col min="1543" max="1543" width="35.7109375" style="174" customWidth="1"/>
    <col min="1544" max="1544" width="9.140625" style="174" customWidth="1"/>
    <col min="1545" max="1545" width="11.5703125" style="174" customWidth="1"/>
    <col min="1546" max="1546" width="15.7109375" style="174" customWidth="1"/>
    <col min="1547" max="1547" width="13.42578125" style="174" customWidth="1"/>
    <col min="1548" max="1548" width="19.140625" style="174" customWidth="1"/>
    <col min="1549" max="1549" width="8.140625" style="174" customWidth="1"/>
    <col min="1550" max="1550" width="12.140625" style="174" customWidth="1"/>
    <col min="1551" max="1551" width="14.42578125" style="174" customWidth="1"/>
    <col min="1552" max="1552" width="13.5703125" style="174" customWidth="1"/>
    <col min="1553" max="1796" width="9.140625" style="174"/>
    <col min="1797" max="1797" width="5.5703125" style="174" customWidth="1"/>
    <col min="1798" max="1798" width="11.5703125" style="174" customWidth="1"/>
    <col min="1799" max="1799" width="35.7109375" style="174" customWidth="1"/>
    <col min="1800" max="1800" width="9.140625" style="174" customWidth="1"/>
    <col min="1801" max="1801" width="11.5703125" style="174" customWidth="1"/>
    <col min="1802" max="1802" width="15.7109375" style="174" customWidth="1"/>
    <col min="1803" max="1803" width="13.42578125" style="174" customWidth="1"/>
    <col min="1804" max="1804" width="19.140625" style="174" customWidth="1"/>
    <col min="1805" max="1805" width="8.140625" style="174" customWidth="1"/>
    <col min="1806" max="1806" width="12.140625" style="174" customWidth="1"/>
    <col min="1807" max="1807" width="14.42578125" style="174" customWidth="1"/>
    <col min="1808" max="1808" width="13.5703125" style="174" customWidth="1"/>
    <col min="1809" max="2052" width="9.140625" style="174"/>
    <col min="2053" max="2053" width="5.5703125" style="174" customWidth="1"/>
    <col min="2054" max="2054" width="11.5703125" style="174" customWidth="1"/>
    <col min="2055" max="2055" width="35.7109375" style="174" customWidth="1"/>
    <col min="2056" max="2056" width="9.140625" style="174" customWidth="1"/>
    <col min="2057" max="2057" width="11.5703125" style="174" customWidth="1"/>
    <col min="2058" max="2058" width="15.7109375" style="174" customWidth="1"/>
    <col min="2059" max="2059" width="13.42578125" style="174" customWidth="1"/>
    <col min="2060" max="2060" width="19.140625" style="174" customWidth="1"/>
    <col min="2061" max="2061" width="8.140625" style="174" customWidth="1"/>
    <col min="2062" max="2062" width="12.140625" style="174" customWidth="1"/>
    <col min="2063" max="2063" width="14.42578125" style="174" customWidth="1"/>
    <col min="2064" max="2064" width="13.5703125" style="174" customWidth="1"/>
    <col min="2065" max="2308" width="9.140625" style="174"/>
    <col min="2309" max="2309" width="5.5703125" style="174" customWidth="1"/>
    <col min="2310" max="2310" width="11.5703125" style="174" customWidth="1"/>
    <col min="2311" max="2311" width="35.7109375" style="174" customWidth="1"/>
    <col min="2312" max="2312" width="9.140625" style="174" customWidth="1"/>
    <col min="2313" max="2313" width="11.5703125" style="174" customWidth="1"/>
    <col min="2314" max="2314" width="15.7109375" style="174" customWidth="1"/>
    <col min="2315" max="2315" width="13.42578125" style="174" customWidth="1"/>
    <col min="2316" max="2316" width="19.140625" style="174" customWidth="1"/>
    <col min="2317" max="2317" width="8.140625" style="174" customWidth="1"/>
    <col min="2318" max="2318" width="12.140625" style="174" customWidth="1"/>
    <col min="2319" max="2319" width="14.42578125" style="174" customWidth="1"/>
    <col min="2320" max="2320" width="13.5703125" style="174" customWidth="1"/>
    <col min="2321" max="2564" width="9.140625" style="174"/>
    <col min="2565" max="2565" width="5.5703125" style="174" customWidth="1"/>
    <col min="2566" max="2566" width="11.5703125" style="174" customWidth="1"/>
    <col min="2567" max="2567" width="35.7109375" style="174" customWidth="1"/>
    <col min="2568" max="2568" width="9.140625" style="174" customWidth="1"/>
    <col min="2569" max="2569" width="11.5703125" style="174" customWidth="1"/>
    <col min="2570" max="2570" width="15.7109375" style="174" customWidth="1"/>
    <col min="2571" max="2571" width="13.42578125" style="174" customWidth="1"/>
    <col min="2572" max="2572" width="19.140625" style="174" customWidth="1"/>
    <col min="2573" max="2573" width="8.140625" style="174" customWidth="1"/>
    <col min="2574" max="2574" width="12.140625" style="174" customWidth="1"/>
    <col min="2575" max="2575" width="14.42578125" style="174" customWidth="1"/>
    <col min="2576" max="2576" width="13.5703125" style="174" customWidth="1"/>
    <col min="2577" max="2820" width="9.140625" style="174"/>
    <col min="2821" max="2821" width="5.5703125" style="174" customWidth="1"/>
    <col min="2822" max="2822" width="11.5703125" style="174" customWidth="1"/>
    <col min="2823" max="2823" width="35.7109375" style="174" customWidth="1"/>
    <col min="2824" max="2824" width="9.140625" style="174" customWidth="1"/>
    <col min="2825" max="2825" width="11.5703125" style="174" customWidth="1"/>
    <col min="2826" max="2826" width="15.7109375" style="174" customWidth="1"/>
    <col min="2827" max="2827" width="13.42578125" style="174" customWidth="1"/>
    <col min="2828" max="2828" width="19.140625" style="174" customWidth="1"/>
    <col min="2829" max="2829" width="8.140625" style="174" customWidth="1"/>
    <col min="2830" max="2830" width="12.140625" style="174" customWidth="1"/>
    <col min="2831" max="2831" width="14.42578125" style="174" customWidth="1"/>
    <col min="2832" max="2832" width="13.5703125" style="174" customWidth="1"/>
    <col min="2833" max="3076" width="9.140625" style="174"/>
    <col min="3077" max="3077" width="5.5703125" style="174" customWidth="1"/>
    <col min="3078" max="3078" width="11.5703125" style="174" customWidth="1"/>
    <col min="3079" max="3079" width="35.7109375" style="174" customWidth="1"/>
    <col min="3080" max="3080" width="9.140625" style="174" customWidth="1"/>
    <col min="3081" max="3081" width="11.5703125" style="174" customWidth="1"/>
    <col min="3082" max="3082" width="15.7109375" style="174" customWidth="1"/>
    <col min="3083" max="3083" width="13.42578125" style="174" customWidth="1"/>
    <col min="3084" max="3084" width="19.140625" style="174" customWidth="1"/>
    <col min="3085" max="3085" width="8.140625" style="174" customWidth="1"/>
    <col min="3086" max="3086" width="12.140625" style="174" customWidth="1"/>
    <col min="3087" max="3087" width="14.42578125" style="174" customWidth="1"/>
    <col min="3088" max="3088" width="13.5703125" style="174" customWidth="1"/>
    <col min="3089" max="3332" width="9.140625" style="174"/>
    <col min="3333" max="3333" width="5.5703125" style="174" customWidth="1"/>
    <col min="3334" max="3334" width="11.5703125" style="174" customWidth="1"/>
    <col min="3335" max="3335" width="35.7109375" style="174" customWidth="1"/>
    <col min="3336" max="3336" width="9.140625" style="174" customWidth="1"/>
    <col min="3337" max="3337" width="11.5703125" style="174" customWidth="1"/>
    <col min="3338" max="3338" width="15.7109375" style="174" customWidth="1"/>
    <col min="3339" max="3339" width="13.42578125" style="174" customWidth="1"/>
    <col min="3340" max="3340" width="19.140625" style="174" customWidth="1"/>
    <col min="3341" max="3341" width="8.140625" style="174" customWidth="1"/>
    <col min="3342" max="3342" width="12.140625" style="174" customWidth="1"/>
    <col min="3343" max="3343" width="14.42578125" style="174" customWidth="1"/>
    <col min="3344" max="3344" width="13.5703125" style="174" customWidth="1"/>
    <col min="3345" max="3588" width="9.140625" style="174"/>
    <col min="3589" max="3589" width="5.5703125" style="174" customWidth="1"/>
    <col min="3590" max="3590" width="11.5703125" style="174" customWidth="1"/>
    <col min="3591" max="3591" width="35.7109375" style="174" customWidth="1"/>
    <col min="3592" max="3592" width="9.140625" style="174" customWidth="1"/>
    <col min="3593" max="3593" width="11.5703125" style="174" customWidth="1"/>
    <col min="3594" max="3594" width="15.7109375" style="174" customWidth="1"/>
    <col min="3595" max="3595" width="13.42578125" style="174" customWidth="1"/>
    <col min="3596" max="3596" width="19.140625" style="174" customWidth="1"/>
    <col min="3597" max="3597" width="8.140625" style="174" customWidth="1"/>
    <col min="3598" max="3598" width="12.140625" style="174" customWidth="1"/>
    <col min="3599" max="3599" width="14.42578125" style="174" customWidth="1"/>
    <col min="3600" max="3600" width="13.5703125" style="174" customWidth="1"/>
    <col min="3601" max="3844" width="9.140625" style="174"/>
    <col min="3845" max="3845" width="5.5703125" style="174" customWidth="1"/>
    <col min="3846" max="3846" width="11.5703125" style="174" customWidth="1"/>
    <col min="3847" max="3847" width="35.7109375" style="174" customWidth="1"/>
    <col min="3848" max="3848" width="9.140625" style="174" customWidth="1"/>
    <col min="3849" max="3849" width="11.5703125" style="174" customWidth="1"/>
    <col min="3850" max="3850" width="15.7109375" style="174" customWidth="1"/>
    <col min="3851" max="3851" width="13.42578125" style="174" customWidth="1"/>
    <col min="3852" max="3852" width="19.140625" style="174" customWidth="1"/>
    <col min="3853" max="3853" width="8.140625" style="174" customWidth="1"/>
    <col min="3854" max="3854" width="12.140625" style="174" customWidth="1"/>
    <col min="3855" max="3855" width="14.42578125" style="174" customWidth="1"/>
    <col min="3856" max="3856" width="13.5703125" style="174" customWidth="1"/>
    <col min="3857" max="4100" width="9.140625" style="174"/>
    <col min="4101" max="4101" width="5.5703125" style="174" customWidth="1"/>
    <col min="4102" max="4102" width="11.5703125" style="174" customWidth="1"/>
    <col min="4103" max="4103" width="35.7109375" style="174" customWidth="1"/>
    <col min="4104" max="4104" width="9.140625" style="174" customWidth="1"/>
    <col min="4105" max="4105" width="11.5703125" style="174" customWidth="1"/>
    <col min="4106" max="4106" width="15.7109375" style="174" customWidth="1"/>
    <col min="4107" max="4107" width="13.42578125" style="174" customWidth="1"/>
    <col min="4108" max="4108" width="19.140625" style="174" customWidth="1"/>
    <col min="4109" max="4109" width="8.140625" style="174" customWidth="1"/>
    <col min="4110" max="4110" width="12.140625" style="174" customWidth="1"/>
    <col min="4111" max="4111" width="14.42578125" style="174" customWidth="1"/>
    <col min="4112" max="4112" width="13.5703125" style="174" customWidth="1"/>
    <col min="4113" max="4356" width="9.140625" style="174"/>
    <col min="4357" max="4357" width="5.5703125" style="174" customWidth="1"/>
    <col min="4358" max="4358" width="11.5703125" style="174" customWidth="1"/>
    <col min="4359" max="4359" width="35.7109375" style="174" customWidth="1"/>
    <col min="4360" max="4360" width="9.140625" style="174" customWidth="1"/>
    <col min="4361" max="4361" width="11.5703125" style="174" customWidth="1"/>
    <col min="4362" max="4362" width="15.7109375" style="174" customWidth="1"/>
    <col min="4363" max="4363" width="13.42578125" style="174" customWidth="1"/>
    <col min="4364" max="4364" width="19.140625" style="174" customWidth="1"/>
    <col min="4365" max="4365" width="8.140625" style="174" customWidth="1"/>
    <col min="4366" max="4366" width="12.140625" style="174" customWidth="1"/>
    <col min="4367" max="4367" width="14.42578125" style="174" customWidth="1"/>
    <col min="4368" max="4368" width="13.5703125" style="174" customWidth="1"/>
    <col min="4369" max="4612" width="9.140625" style="174"/>
    <col min="4613" max="4613" width="5.5703125" style="174" customWidth="1"/>
    <col min="4614" max="4614" width="11.5703125" style="174" customWidth="1"/>
    <col min="4615" max="4615" width="35.7109375" style="174" customWidth="1"/>
    <col min="4616" max="4616" width="9.140625" style="174" customWidth="1"/>
    <col min="4617" max="4617" width="11.5703125" style="174" customWidth="1"/>
    <col min="4618" max="4618" width="15.7109375" style="174" customWidth="1"/>
    <col min="4619" max="4619" width="13.42578125" style="174" customWidth="1"/>
    <col min="4620" max="4620" width="19.140625" style="174" customWidth="1"/>
    <col min="4621" max="4621" width="8.140625" style="174" customWidth="1"/>
    <col min="4622" max="4622" width="12.140625" style="174" customWidth="1"/>
    <col min="4623" max="4623" width="14.42578125" style="174" customWidth="1"/>
    <col min="4624" max="4624" width="13.5703125" style="174" customWidth="1"/>
    <col min="4625" max="4868" width="9.140625" style="174"/>
    <col min="4869" max="4869" width="5.5703125" style="174" customWidth="1"/>
    <col min="4870" max="4870" width="11.5703125" style="174" customWidth="1"/>
    <col min="4871" max="4871" width="35.7109375" style="174" customWidth="1"/>
    <col min="4872" max="4872" width="9.140625" style="174" customWidth="1"/>
    <col min="4873" max="4873" width="11.5703125" style="174" customWidth="1"/>
    <col min="4874" max="4874" width="15.7109375" style="174" customWidth="1"/>
    <col min="4875" max="4875" width="13.42578125" style="174" customWidth="1"/>
    <col min="4876" max="4876" width="19.140625" style="174" customWidth="1"/>
    <col min="4877" max="4877" width="8.140625" style="174" customWidth="1"/>
    <col min="4878" max="4878" width="12.140625" style="174" customWidth="1"/>
    <col min="4879" max="4879" width="14.42578125" style="174" customWidth="1"/>
    <col min="4880" max="4880" width="13.5703125" style="174" customWidth="1"/>
    <col min="4881" max="5124" width="9.140625" style="174"/>
    <col min="5125" max="5125" width="5.5703125" style="174" customWidth="1"/>
    <col min="5126" max="5126" width="11.5703125" style="174" customWidth="1"/>
    <col min="5127" max="5127" width="35.7109375" style="174" customWidth="1"/>
    <col min="5128" max="5128" width="9.140625" style="174" customWidth="1"/>
    <col min="5129" max="5129" width="11.5703125" style="174" customWidth="1"/>
    <col min="5130" max="5130" width="15.7109375" style="174" customWidth="1"/>
    <col min="5131" max="5131" width="13.42578125" style="174" customWidth="1"/>
    <col min="5132" max="5132" width="19.140625" style="174" customWidth="1"/>
    <col min="5133" max="5133" width="8.140625" style="174" customWidth="1"/>
    <col min="5134" max="5134" width="12.140625" style="174" customWidth="1"/>
    <col min="5135" max="5135" width="14.42578125" style="174" customWidth="1"/>
    <col min="5136" max="5136" width="13.5703125" style="174" customWidth="1"/>
    <col min="5137" max="5380" width="9.140625" style="174"/>
    <col min="5381" max="5381" width="5.5703125" style="174" customWidth="1"/>
    <col min="5382" max="5382" width="11.5703125" style="174" customWidth="1"/>
    <col min="5383" max="5383" width="35.7109375" style="174" customWidth="1"/>
    <col min="5384" max="5384" width="9.140625" style="174" customWidth="1"/>
    <col min="5385" max="5385" width="11.5703125" style="174" customWidth="1"/>
    <col min="5386" max="5386" width="15.7109375" style="174" customWidth="1"/>
    <col min="5387" max="5387" width="13.42578125" style="174" customWidth="1"/>
    <col min="5388" max="5388" width="19.140625" style="174" customWidth="1"/>
    <col min="5389" max="5389" width="8.140625" style="174" customWidth="1"/>
    <col min="5390" max="5390" width="12.140625" style="174" customWidth="1"/>
    <col min="5391" max="5391" width="14.42578125" style="174" customWidth="1"/>
    <col min="5392" max="5392" width="13.5703125" style="174" customWidth="1"/>
    <col min="5393" max="5636" width="9.140625" style="174"/>
    <col min="5637" max="5637" width="5.5703125" style="174" customWidth="1"/>
    <col min="5638" max="5638" width="11.5703125" style="174" customWidth="1"/>
    <col min="5639" max="5639" width="35.7109375" style="174" customWidth="1"/>
    <col min="5640" max="5640" width="9.140625" style="174" customWidth="1"/>
    <col min="5641" max="5641" width="11.5703125" style="174" customWidth="1"/>
    <col min="5642" max="5642" width="15.7109375" style="174" customWidth="1"/>
    <col min="5643" max="5643" width="13.42578125" style="174" customWidth="1"/>
    <col min="5644" max="5644" width="19.140625" style="174" customWidth="1"/>
    <col min="5645" max="5645" width="8.140625" style="174" customWidth="1"/>
    <col min="5646" max="5646" width="12.140625" style="174" customWidth="1"/>
    <col min="5647" max="5647" width="14.42578125" style="174" customWidth="1"/>
    <col min="5648" max="5648" width="13.5703125" style="174" customWidth="1"/>
    <col min="5649" max="5892" width="9.140625" style="174"/>
    <col min="5893" max="5893" width="5.5703125" style="174" customWidth="1"/>
    <col min="5894" max="5894" width="11.5703125" style="174" customWidth="1"/>
    <col min="5895" max="5895" width="35.7109375" style="174" customWidth="1"/>
    <col min="5896" max="5896" width="9.140625" style="174" customWidth="1"/>
    <col min="5897" max="5897" width="11.5703125" style="174" customWidth="1"/>
    <col min="5898" max="5898" width="15.7109375" style="174" customWidth="1"/>
    <col min="5899" max="5899" width="13.42578125" style="174" customWidth="1"/>
    <col min="5900" max="5900" width="19.140625" style="174" customWidth="1"/>
    <col min="5901" max="5901" width="8.140625" style="174" customWidth="1"/>
    <col min="5902" max="5902" width="12.140625" style="174" customWidth="1"/>
    <col min="5903" max="5903" width="14.42578125" style="174" customWidth="1"/>
    <col min="5904" max="5904" width="13.5703125" style="174" customWidth="1"/>
    <col min="5905" max="6148" width="9.140625" style="174"/>
    <col min="6149" max="6149" width="5.5703125" style="174" customWidth="1"/>
    <col min="6150" max="6150" width="11.5703125" style="174" customWidth="1"/>
    <col min="6151" max="6151" width="35.7109375" style="174" customWidth="1"/>
    <col min="6152" max="6152" width="9.140625" style="174" customWidth="1"/>
    <col min="6153" max="6153" width="11.5703125" style="174" customWidth="1"/>
    <col min="6154" max="6154" width="15.7109375" style="174" customWidth="1"/>
    <col min="6155" max="6155" width="13.42578125" style="174" customWidth="1"/>
    <col min="6156" max="6156" width="19.140625" style="174" customWidth="1"/>
    <col min="6157" max="6157" width="8.140625" style="174" customWidth="1"/>
    <col min="6158" max="6158" width="12.140625" style="174" customWidth="1"/>
    <col min="6159" max="6159" width="14.42578125" style="174" customWidth="1"/>
    <col min="6160" max="6160" width="13.5703125" style="174" customWidth="1"/>
    <col min="6161" max="6404" width="9.140625" style="174"/>
    <col min="6405" max="6405" width="5.5703125" style="174" customWidth="1"/>
    <col min="6406" max="6406" width="11.5703125" style="174" customWidth="1"/>
    <col min="6407" max="6407" width="35.7109375" style="174" customWidth="1"/>
    <col min="6408" max="6408" width="9.140625" style="174" customWidth="1"/>
    <col min="6409" max="6409" width="11.5703125" style="174" customWidth="1"/>
    <col min="6410" max="6410" width="15.7109375" style="174" customWidth="1"/>
    <col min="6411" max="6411" width="13.42578125" style="174" customWidth="1"/>
    <col min="6412" max="6412" width="19.140625" style="174" customWidth="1"/>
    <col min="6413" max="6413" width="8.140625" style="174" customWidth="1"/>
    <col min="6414" max="6414" width="12.140625" style="174" customWidth="1"/>
    <col min="6415" max="6415" width="14.42578125" style="174" customWidth="1"/>
    <col min="6416" max="6416" width="13.5703125" style="174" customWidth="1"/>
    <col min="6417" max="6660" width="9.140625" style="174"/>
    <col min="6661" max="6661" width="5.5703125" style="174" customWidth="1"/>
    <col min="6662" max="6662" width="11.5703125" style="174" customWidth="1"/>
    <col min="6663" max="6663" width="35.7109375" style="174" customWidth="1"/>
    <col min="6664" max="6664" width="9.140625" style="174" customWidth="1"/>
    <col min="6665" max="6665" width="11.5703125" style="174" customWidth="1"/>
    <col min="6666" max="6666" width="15.7109375" style="174" customWidth="1"/>
    <col min="6667" max="6667" width="13.42578125" style="174" customWidth="1"/>
    <col min="6668" max="6668" width="19.140625" style="174" customWidth="1"/>
    <col min="6669" max="6669" width="8.140625" style="174" customWidth="1"/>
    <col min="6670" max="6670" width="12.140625" style="174" customWidth="1"/>
    <col min="6671" max="6671" width="14.42578125" style="174" customWidth="1"/>
    <col min="6672" max="6672" width="13.5703125" style="174" customWidth="1"/>
    <col min="6673" max="6916" width="9.140625" style="174"/>
    <col min="6917" max="6917" width="5.5703125" style="174" customWidth="1"/>
    <col min="6918" max="6918" width="11.5703125" style="174" customWidth="1"/>
    <col min="6919" max="6919" width="35.7109375" style="174" customWidth="1"/>
    <col min="6920" max="6920" width="9.140625" style="174" customWidth="1"/>
    <col min="6921" max="6921" width="11.5703125" style="174" customWidth="1"/>
    <col min="6922" max="6922" width="15.7109375" style="174" customWidth="1"/>
    <col min="6923" max="6923" width="13.42578125" style="174" customWidth="1"/>
    <col min="6924" max="6924" width="19.140625" style="174" customWidth="1"/>
    <col min="6925" max="6925" width="8.140625" style="174" customWidth="1"/>
    <col min="6926" max="6926" width="12.140625" style="174" customWidth="1"/>
    <col min="6927" max="6927" width="14.42578125" style="174" customWidth="1"/>
    <col min="6928" max="6928" width="13.5703125" style="174" customWidth="1"/>
    <col min="6929" max="7172" width="9.140625" style="174"/>
    <col min="7173" max="7173" width="5.5703125" style="174" customWidth="1"/>
    <col min="7174" max="7174" width="11.5703125" style="174" customWidth="1"/>
    <col min="7175" max="7175" width="35.7109375" style="174" customWidth="1"/>
    <col min="7176" max="7176" width="9.140625" style="174" customWidth="1"/>
    <col min="7177" max="7177" width="11.5703125" style="174" customWidth="1"/>
    <col min="7178" max="7178" width="15.7109375" style="174" customWidth="1"/>
    <col min="7179" max="7179" width="13.42578125" style="174" customWidth="1"/>
    <col min="7180" max="7180" width="19.140625" style="174" customWidth="1"/>
    <col min="7181" max="7181" width="8.140625" style="174" customWidth="1"/>
    <col min="7182" max="7182" width="12.140625" style="174" customWidth="1"/>
    <col min="7183" max="7183" width="14.42578125" style="174" customWidth="1"/>
    <col min="7184" max="7184" width="13.5703125" style="174" customWidth="1"/>
    <col min="7185" max="7428" width="9.140625" style="174"/>
    <col min="7429" max="7429" width="5.5703125" style="174" customWidth="1"/>
    <col min="7430" max="7430" width="11.5703125" style="174" customWidth="1"/>
    <col min="7431" max="7431" width="35.7109375" style="174" customWidth="1"/>
    <col min="7432" max="7432" width="9.140625" style="174" customWidth="1"/>
    <col min="7433" max="7433" width="11.5703125" style="174" customWidth="1"/>
    <col min="7434" max="7434" width="15.7109375" style="174" customWidth="1"/>
    <col min="7435" max="7435" width="13.42578125" style="174" customWidth="1"/>
    <col min="7436" max="7436" width="19.140625" style="174" customWidth="1"/>
    <col min="7437" max="7437" width="8.140625" style="174" customWidth="1"/>
    <col min="7438" max="7438" width="12.140625" style="174" customWidth="1"/>
    <col min="7439" max="7439" width="14.42578125" style="174" customWidth="1"/>
    <col min="7440" max="7440" width="13.5703125" style="174" customWidth="1"/>
    <col min="7441" max="7684" width="9.140625" style="174"/>
    <col min="7685" max="7685" width="5.5703125" style="174" customWidth="1"/>
    <col min="7686" max="7686" width="11.5703125" style="174" customWidth="1"/>
    <col min="7687" max="7687" width="35.7109375" style="174" customWidth="1"/>
    <col min="7688" max="7688" width="9.140625" style="174" customWidth="1"/>
    <col min="7689" max="7689" width="11.5703125" style="174" customWidth="1"/>
    <col min="7690" max="7690" width="15.7109375" style="174" customWidth="1"/>
    <col min="7691" max="7691" width="13.42578125" style="174" customWidth="1"/>
    <col min="7692" max="7692" width="19.140625" style="174" customWidth="1"/>
    <col min="7693" max="7693" width="8.140625" style="174" customWidth="1"/>
    <col min="7694" max="7694" width="12.140625" style="174" customWidth="1"/>
    <col min="7695" max="7695" width="14.42578125" style="174" customWidth="1"/>
    <col min="7696" max="7696" width="13.5703125" style="174" customWidth="1"/>
    <col min="7697" max="7940" width="9.140625" style="174"/>
    <col min="7941" max="7941" width="5.5703125" style="174" customWidth="1"/>
    <col min="7942" max="7942" width="11.5703125" style="174" customWidth="1"/>
    <col min="7943" max="7943" width="35.7109375" style="174" customWidth="1"/>
    <col min="7944" max="7944" width="9.140625" style="174" customWidth="1"/>
    <col min="7945" max="7945" width="11.5703125" style="174" customWidth="1"/>
    <col min="7946" max="7946" width="15.7109375" style="174" customWidth="1"/>
    <col min="7947" max="7947" width="13.42578125" style="174" customWidth="1"/>
    <col min="7948" max="7948" width="19.140625" style="174" customWidth="1"/>
    <col min="7949" max="7949" width="8.140625" style="174" customWidth="1"/>
    <col min="7950" max="7950" width="12.140625" style="174" customWidth="1"/>
    <col min="7951" max="7951" width="14.42578125" style="174" customWidth="1"/>
    <col min="7952" max="7952" width="13.5703125" style="174" customWidth="1"/>
    <col min="7953" max="8196" width="9.140625" style="174"/>
    <col min="8197" max="8197" width="5.5703125" style="174" customWidth="1"/>
    <col min="8198" max="8198" width="11.5703125" style="174" customWidth="1"/>
    <col min="8199" max="8199" width="35.7109375" style="174" customWidth="1"/>
    <col min="8200" max="8200" width="9.140625" style="174" customWidth="1"/>
    <col min="8201" max="8201" width="11.5703125" style="174" customWidth="1"/>
    <col min="8202" max="8202" width="15.7109375" style="174" customWidth="1"/>
    <col min="8203" max="8203" width="13.42578125" style="174" customWidth="1"/>
    <col min="8204" max="8204" width="19.140625" style="174" customWidth="1"/>
    <col min="8205" max="8205" width="8.140625" style="174" customWidth="1"/>
    <col min="8206" max="8206" width="12.140625" style="174" customWidth="1"/>
    <col min="8207" max="8207" width="14.42578125" style="174" customWidth="1"/>
    <col min="8208" max="8208" width="13.5703125" style="174" customWidth="1"/>
    <col min="8209" max="8452" width="9.140625" style="174"/>
    <col min="8453" max="8453" width="5.5703125" style="174" customWidth="1"/>
    <col min="8454" max="8454" width="11.5703125" style="174" customWidth="1"/>
    <col min="8455" max="8455" width="35.7109375" style="174" customWidth="1"/>
    <col min="8456" max="8456" width="9.140625" style="174" customWidth="1"/>
    <col min="8457" max="8457" width="11.5703125" style="174" customWidth="1"/>
    <col min="8458" max="8458" width="15.7109375" style="174" customWidth="1"/>
    <col min="8459" max="8459" width="13.42578125" style="174" customWidth="1"/>
    <col min="8460" max="8460" width="19.140625" style="174" customWidth="1"/>
    <col min="8461" max="8461" width="8.140625" style="174" customWidth="1"/>
    <col min="8462" max="8462" width="12.140625" style="174" customWidth="1"/>
    <col min="8463" max="8463" width="14.42578125" style="174" customWidth="1"/>
    <col min="8464" max="8464" width="13.5703125" style="174" customWidth="1"/>
    <col min="8465" max="8708" width="9.140625" style="174"/>
    <col min="8709" max="8709" width="5.5703125" style="174" customWidth="1"/>
    <col min="8710" max="8710" width="11.5703125" style="174" customWidth="1"/>
    <col min="8711" max="8711" width="35.7109375" style="174" customWidth="1"/>
    <col min="8712" max="8712" width="9.140625" style="174" customWidth="1"/>
    <col min="8713" max="8713" width="11.5703125" style="174" customWidth="1"/>
    <col min="8714" max="8714" width="15.7109375" style="174" customWidth="1"/>
    <col min="8715" max="8715" width="13.42578125" style="174" customWidth="1"/>
    <col min="8716" max="8716" width="19.140625" style="174" customWidth="1"/>
    <col min="8717" max="8717" width="8.140625" style="174" customWidth="1"/>
    <col min="8718" max="8718" width="12.140625" style="174" customWidth="1"/>
    <col min="8719" max="8719" width="14.42578125" style="174" customWidth="1"/>
    <col min="8720" max="8720" width="13.5703125" style="174" customWidth="1"/>
    <col min="8721" max="8964" width="9.140625" style="174"/>
    <col min="8965" max="8965" width="5.5703125" style="174" customWidth="1"/>
    <col min="8966" max="8966" width="11.5703125" style="174" customWidth="1"/>
    <col min="8967" max="8967" width="35.7109375" style="174" customWidth="1"/>
    <col min="8968" max="8968" width="9.140625" style="174" customWidth="1"/>
    <col min="8969" max="8969" width="11.5703125" style="174" customWidth="1"/>
    <col min="8970" max="8970" width="15.7109375" style="174" customWidth="1"/>
    <col min="8971" max="8971" width="13.42578125" style="174" customWidth="1"/>
    <col min="8972" max="8972" width="19.140625" style="174" customWidth="1"/>
    <col min="8973" max="8973" width="8.140625" style="174" customWidth="1"/>
    <col min="8974" max="8974" width="12.140625" style="174" customWidth="1"/>
    <col min="8975" max="8975" width="14.42578125" style="174" customWidth="1"/>
    <col min="8976" max="8976" width="13.5703125" style="174" customWidth="1"/>
    <col min="8977" max="9220" width="9.140625" style="174"/>
    <col min="9221" max="9221" width="5.5703125" style="174" customWidth="1"/>
    <col min="9222" max="9222" width="11.5703125" style="174" customWidth="1"/>
    <col min="9223" max="9223" width="35.7109375" style="174" customWidth="1"/>
    <col min="9224" max="9224" width="9.140625" style="174" customWidth="1"/>
    <col min="9225" max="9225" width="11.5703125" style="174" customWidth="1"/>
    <col min="9226" max="9226" width="15.7109375" style="174" customWidth="1"/>
    <col min="9227" max="9227" width="13.42578125" style="174" customWidth="1"/>
    <col min="9228" max="9228" width="19.140625" style="174" customWidth="1"/>
    <col min="9229" max="9229" width="8.140625" style="174" customWidth="1"/>
    <col min="9230" max="9230" width="12.140625" style="174" customWidth="1"/>
    <col min="9231" max="9231" width="14.42578125" style="174" customWidth="1"/>
    <col min="9232" max="9232" width="13.5703125" style="174" customWidth="1"/>
    <col min="9233" max="9476" width="9.140625" style="174"/>
    <col min="9477" max="9477" width="5.5703125" style="174" customWidth="1"/>
    <col min="9478" max="9478" width="11.5703125" style="174" customWidth="1"/>
    <col min="9479" max="9479" width="35.7109375" style="174" customWidth="1"/>
    <col min="9480" max="9480" width="9.140625" style="174" customWidth="1"/>
    <col min="9481" max="9481" width="11.5703125" style="174" customWidth="1"/>
    <col min="9482" max="9482" width="15.7109375" style="174" customWidth="1"/>
    <col min="9483" max="9483" width="13.42578125" style="174" customWidth="1"/>
    <col min="9484" max="9484" width="19.140625" style="174" customWidth="1"/>
    <col min="9485" max="9485" width="8.140625" style="174" customWidth="1"/>
    <col min="9486" max="9486" width="12.140625" style="174" customWidth="1"/>
    <col min="9487" max="9487" width="14.42578125" style="174" customWidth="1"/>
    <col min="9488" max="9488" width="13.5703125" style="174" customWidth="1"/>
    <col min="9489" max="9732" width="9.140625" style="174"/>
    <col min="9733" max="9733" width="5.5703125" style="174" customWidth="1"/>
    <col min="9734" max="9734" width="11.5703125" style="174" customWidth="1"/>
    <col min="9735" max="9735" width="35.7109375" style="174" customWidth="1"/>
    <col min="9736" max="9736" width="9.140625" style="174" customWidth="1"/>
    <col min="9737" max="9737" width="11.5703125" style="174" customWidth="1"/>
    <col min="9738" max="9738" width="15.7109375" style="174" customWidth="1"/>
    <col min="9739" max="9739" width="13.42578125" style="174" customWidth="1"/>
    <col min="9740" max="9740" width="19.140625" style="174" customWidth="1"/>
    <col min="9741" max="9741" width="8.140625" style="174" customWidth="1"/>
    <col min="9742" max="9742" width="12.140625" style="174" customWidth="1"/>
    <col min="9743" max="9743" width="14.42578125" style="174" customWidth="1"/>
    <col min="9744" max="9744" width="13.5703125" style="174" customWidth="1"/>
    <col min="9745" max="9988" width="9.140625" style="174"/>
    <col min="9989" max="9989" width="5.5703125" style="174" customWidth="1"/>
    <col min="9990" max="9990" width="11.5703125" style="174" customWidth="1"/>
    <col min="9991" max="9991" width="35.7109375" style="174" customWidth="1"/>
    <col min="9992" max="9992" width="9.140625" style="174" customWidth="1"/>
    <col min="9993" max="9993" width="11.5703125" style="174" customWidth="1"/>
    <col min="9994" max="9994" width="15.7109375" style="174" customWidth="1"/>
    <col min="9995" max="9995" width="13.42578125" style="174" customWidth="1"/>
    <col min="9996" max="9996" width="19.140625" style="174" customWidth="1"/>
    <col min="9997" max="9997" width="8.140625" style="174" customWidth="1"/>
    <col min="9998" max="9998" width="12.140625" style="174" customWidth="1"/>
    <col min="9999" max="9999" width="14.42578125" style="174" customWidth="1"/>
    <col min="10000" max="10000" width="13.5703125" style="174" customWidth="1"/>
    <col min="10001" max="10244" width="9.140625" style="174"/>
    <col min="10245" max="10245" width="5.5703125" style="174" customWidth="1"/>
    <col min="10246" max="10246" width="11.5703125" style="174" customWidth="1"/>
    <col min="10247" max="10247" width="35.7109375" style="174" customWidth="1"/>
    <col min="10248" max="10248" width="9.140625" style="174" customWidth="1"/>
    <col min="10249" max="10249" width="11.5703125" style="174" customWidth="1"/>
    <col min="10250" max="10250" width="15.7109375" style="174" customWidth="1"/>
    <col min="10251" max="10251" width="13.42578125" style="174" customWidth="1"/>
    <col min="10252" max="10252" width="19.140625" style="174" customWidth="1"/>
    <col min="10253" max="10253" width="8.140625" style="174" customWidth="1"/>
    <col min="10254" max="10254" width="12.140625" style="174" customWidth="1"/>
    <col min="10255" max="10255" width="14.42578125" style="174" customWidth="1"/>
    <col min="10256" max="10256" width="13.5703125" style="174" customWidth="1"/>
    <col min="10257" max="10500" width="9.140625" style="174"/>
    <col min="10501" max="10501" width="5.5703125" style="174" customWidth="1"/>
    <col min="10502" max="10502" width="11.5703125" style="174" customWidth="1"/>
    <col min="10503" max="10503" width="35.7109375" style="174" customWidth="1"/>
    <col min="10504" max="10504" width="9.140625" style="174" customWidth="1"/>
    <col min="10505" max="10505" width="11.5703125" style="174" customWidth="1"/>
    <col min="10506" max="10506" width="15.7109375" style="174" customWidth="1"/>
    <col min="10507" max="10507" width="13.42578125" style="174" customWidth="1"/>
    <col min="10508" max="10508" width="19.140625" style="174" customWidth="1"/>
    <col min="10509" max="10509" width="8.140625" style="174" customWidth="1"/>
    <col min="10510" max="10510" width="12.140625" style="174" customWidth="1"/>
    <col min="10511" max="10511" width="14.42578125" style="174" customWidth="1"/>
    <col min="10512" max="10512" width="13.5703125" style="174" customWidth="1"/>
    <col min="10513" max="10756" width="9.140625" style="174"/>
    <col min="10757" max="10757" width="5.5703125" style="174" customWidth="1"/>
    <col min="10758" max="10758" width="11.5703125" style="174" customWidth="1"/>
    <col min="10759" max="10759" width="35.7109375" style="174" customWidth="1"/>
    <col min="10760" max="10760" width="9.140625" style="174" customWidth="1"/>
    <col min="10761" max="10761" width="11.5703125" style="174" customWidth="1"/>
    <col min="10762" max="10762" width="15.7109375" style="174" customWidth="1"/>
    <col min="10763" max="10763" width="13.42578125" style="174" customWidth="1"/>
    <col min="10764" max="10764" width="19.140625" style="174" customWidth="1"/>
    <col min="10765" max="10765" width="8.140625" style="174" customWidth="1"/>
    <col min="10766" max="10766" width="12.140625" style="174" customWidth="1"/>
    <col min="10767" max="10767" width="14.42578125" style="174" customWidth="1"/>
    <col min="10768" max="10768" width="13.5703125" style="174" customWidth="1"/>
    <col min="10769" max="11012" width="9.140625" style="174"/>
    <col min="11013" max="11013" width="5.5703125" style="174" customWidth="1"/>
    <col min="11014" max="11014" width="11.5703125" style="174" customWidth="1"/>
    <col min="11015" max="11015" width="35.7109375" style="174" customWidth="1"/>
    <col min="11016" max="11016" width="9.140625" style="174" customWidth="1"/>
    <col min="11017" max="11017" width="11.5703125" style="174" customWidth="1"/>
    <col min="11018" max="11018" width="15.7109375" style="174" customWidth="1"/>
    <col min="11019" max="11019" width="13.42578125" style="174" customWidth="1"/>
    <col min="11020" max="11020" width="19.140625" style="174" customWidth="1"/>
    <col min="11021" max="11021" width="8.140625" style="174" customWidth="1"/>
    <col min="11022" max="11022" width="12.140625" style="174" customWidth="1"/>
    <col min="11023" max="11023" width="14.42578125" style="174" customWidth="1"/>
    <col min="11024" max="11024" width="13.5703125" style="174" customWidth="1"/>
    <col min="11025" max="11268" width="9.140625" style="174"/>
    <col min="11269" max="11269" width="5.5703125" style="174" customWidth="1"/>
    <col min="11270" max="11270" width="11.5703125" style="174" customWidth="1"/>
    <col min="11271" max="11271" width="35.7109375" style="174" customWidth="1"/>
    <col min="11272" max="11272" width="9.140625" style="174" customWidth="1"/>
    <col min="11273" max="11273" width="11.5703125" style="174" customWidth="1"/>
    <col min="11274" max="11274" width="15.7109375" style="174" customWidth="1"/>
    <col min="11275" max="11275" width="13.42578125" style="174" customWidth="1"/>
    <col min="11276" max="11276" width="19.140625" style="174" customWidth="1"/>
    <col min="11277" max="11277" width="8.140625" style="174" customWidth="1"/>
    <col min="11278" max="11278" width="12.140625" style="174" customWidth="1"/>
    <col min="11279" max="11279" width="14.42578125" style="174" customWidth="1"/>
    <col min="11280" max="11280" width="13.5703125" style="174" customWidth="1"/>
    <col min="11281" max="11524" width="9.140625" style="174"/>
    <col min="11525" max="11525" width="5.5703125" style="174" customWidth="1"/>
    <col min="11526" max="11526" width="11.5703125" style="174" customWidth="1"/>
    <col min="11527" max="11527" width="35.7109375" style="174" customWidth="1"/>
    <col min="11528" max="11528" width="9.140625" style="174" customWidth="1"/>
    <col min="11529" max="11529" width="11.5703125" style="174" customWidth="1"/>
    <col min="11530" max="11530" width="15.7109375" style="174" customWidth="1"/>
    <col min="11531" max="11531" width="13.42578125" style="174" customWidth="1"/>
    <col min="11532" max="11532" width="19.140625" style="174" customWidth="1"/>
    <col min="11533" max="11533" width="8.140625" style="174" customWidth="1"/>
    <col min="11534" max="11534" width="12.140625" style="174" customWidth="1"/>
    <col min="11535" max="11535" width="14.42578125" style="174" customWidth="1"/>
    <col min="11536" max="11536" width="13.5703125" style="174" customWidth="1"/>
    <col min="11537" max="11780" width="9.140625" style="174"/>
    <col min="11781" max="11781" width="5.5703125" style="174" customWidth="1"/>
    <col min="11782" max="11782" width="11.5703125" style="174" customWidth="1"/>
    <col min="11783" max="11783" width="35.7109375" style="174" customWidth="1"/>
    <col min="11784" max="11784" width="9.140625" style="174" customWidth="1"/>
    <col min="11785" max="11785" width="11.5703125" style="174" customWidth="1"/>
    <col min="11786" max="11786" width="15.7109375" style="174" customWidth="1"/>
    <col min="11787" max="11787" width="13.42578125" style="174" customWidth="1"/>
    <col min="11788" max="11788" width="19.140625" style="174" customWidth="1"/>
    <col min="11789" max="11789" width="8.140625" style="174" customWidth="1"/>
    <col min="11790" max="11790" width="12.140625" style="174" customWidth="1"/>
    <col min="11791" max="11791" width="14.42578125" style="174" customWidth="1"/>
    <col min="11792" max="11792" width="13.5703125" style="174" customWidth="1"/>
    <col min="11793" max="12036" width="9.140625" style="174"/>
    <col min="12037" max="12037" width="5.5703125" style="174" customWidth="1"/>
    <col min="12038" max="12038" width="11.5703125" style="174" customWidth="1"/>
    <col min="12039" max="12039" width="35.7109375" style="174" customWidth="1"/>
    <col min="12040" max="12040" width="9.140625" style="174" customWidth="1"/>
    <col min="12041" max="12041" width="11.5703125" style="174" customWidth="1"/>
    <col min="12042" max="12042" width="15.7109375" style="174" customWidth="1"/>
    <col min="12043" max="12043" width="13.42578125" style="174" customWidth="1"/>
    <col min="12044" max="12044" width="19.140625" style="174" customWidth="1"/>
    <col min="12045" max="12045" width="8.140625" style="174" customWidth="1"/>
    <col min="12046" max="12046" width="12.140625" style="174" customWidth="1"/>
    <col min="12047" max="12047" width="14.42578125" style="174" customWidth="1"/>
    <col min="12048" max="12048" width="13.5703125" style="174" customWidth="1"/>
    <col min="12049" max="12292" width="9.140625" style="174"/>
    <col min="12293" max="12293" width="5.5703125" style="174" customWidth="1"/>
    <col min="12294" max="12294" width="11.5703125" style="174" customWidth="1"/>
    <col min="12295" max="12295" width="35.7109375" style="174" customWidth="1"/>
    <col min="12296" max="12296" width="9.140625" style="174" customWidth="1"/>
    <col min="12297" max="12297" width="11.5703125" style="174" customWidth="1"/>
    <col min="12298" max="12298" width="15.7109375" style="174" customWidth="1"/>
    <col min="12299" max="12299" width="13.42578125" style="174" customWidth="1"/>
    <col min="12300" max="12300" width="19.140625" style="174" customWidth="1"/>
    <col min="12301" max="12301" width="8.140625" style="174" customWidth="1"/>
    <col min="12302" max="12302" width="12.140625" style="174" customWidth="1"/>
    <col min="12303" max="12303" width="14.42578125" style="174" customWidth="1"/>
    <col min="12304" max="12304" width="13.5703125" style="174" customWidth="1"/>
    <col min="12305" max="12548" width="9.140625" style="174"/>
    <col min="12549" max="12549" width="5.5703125" style="174" customWidth="1"/>
    <col min="12550" max="12550" width="11.5703125" style="174" customWidth="1"/>
    <col min="12551" max="12551" width="35.7109375" style="174" customWidth="1"/>
    <col min="12552" max="12552" width="9.140625" style="174" customWidth="1"/>
    <col min="12553" max="12553" width="11.5703125" style="174" customWidth="1"/>
    <col min="12554" max="12554" width="15.7109375" style="174" customWidth="1"/>
    <col min="12555" max="12555" width="13.42578125" style="174" customWidth="1"/>
    <col min="12556" max="12556" width="19.140625" style="174" customWidth="1"/>
    <col min="12557" max="12557" width="8.140625" style="174" customWidth="1"/>
    <col min="12558" max="12558" width="12.140625" style="174" customWidth="1"/>
    <col min="12559" max="12559" width="14.42578125" style="174" customWidth="1"/>
    <col min="12560" max="12560" width="13.5703125" style="174" customWidth="1"/>
    <col min="12561" max="12804" width="9.140625" style="174"/>
    <col min="12805" max="12805" width="5.5703125" style="174" customWidth="1"/>
    <col min="12806" max="12806" width="11.5703125" style="174" customWidth="1"/>
    <col min="12807" max="12807" width="35.7109375" style="174" customWidth="1"/>
    <col min="12808" max="12808" width="9.140625" style="174" customWidth="1"/>
    <col min="12809" max="12809" width="11.5703125" style="174" customWidth="1"/>
    <col min="12810" max="12810" width="15.7109375" style="174" customWidth="1"/>
    <col min="12811" max="12811" width="13.42578125" style="174" customWidth="1"/>
    <col min="12812" max="12812" width="19.140625" style="174" customWidth="1"/>
    <col min="12813" max="12813" width="8.140625" style="174" customWidth="1"/>
    <col min="12814" max="12814" width="12.140625" style="174" customWidth="1"/>
    <col min="12815" max="12815" width="14.42578125" style="174" customWidth="1"/>
    <col min="12816" max="12816" width="13.5703125" style="174" customWidth="1"/>
    <col min="12817" max="13060" width="9.140625" style="174"/>
    <col min="13061" max="13061" width="5.5703125" style="174" customWidth="1"/>
    <col min="13062" max="13062" width="11.5703125" style="174" customWidth="1"/>
    <col min="13063" max="13063" width="35.7109375" style="174" customWidth="1"/>
    <col min="13064" max="13064" width="9.140625" style="174" customWidth="1"/>
    <col min="13065" max="13065" width="11.5703125" style="174" customWidth="1"/>
    <col min="13066" max="13066" width="15.7109375" style="174" customWidth="1"/>
    <col min="13067" max="13067" width="13.42578125" style="174" customWidth="1"/>
    <col min="13068" max="13068" width="19.140625" style="174" customWidth="1"/>
    <col min="13069" max="13069" width="8.140625" style="174" customWidth="1"/>
    <col min="13070" max="13070" width="12.140625" style="174" customWidth="1"/>
    <col min="13071" max="13071" width="14.42578125" style="174" customWidth="1"/>
    <col min="13072" max="13072" width="13.5703125" style="174" customWidth="1"/>
    <col min="13073" max="13316" width="9.140625" style="174"/>
    <col min="13317" max="13317" width="5.5703125" style="174" customWidth="1"/>
    <col min="13318" max="13318" width="11.5703125" style="174" customWidth="1"/>
    <col min="13319" max="13319" width="35.7109375" style="174" customWidth="1"/>
    <col min="13320" max="13320" width="9.140625" style="174" customWidth="1"/>
    <col min="13321" max="13321" width="11.5703125" style="174" customWidth="1"/>
    <col min="13322" max="13322" width="15.7109375" style="174" customWidth="1"/>
    <col min="13323" max="13323" width="13.42578125" style="174" customWidth="1"/>
    <col min="13324" max="13324" width="19.140625" style="174" customWidth="1"/>
    <col min="13325" max="13325" width="8.140625" style="174" customWidth="1"/>
    <col min="13326" max="13326" width="12.140625" style="174" customWidth="1"/>
    <col min="13327" max="13327" width="14.42578125" style="174" customWidth="1"/>
    <col min="13328" max="13328" width="13.5703125" style="174" customWidth="1"/>
    <col min="13329" max="13572" width="9.140625" style="174"/>
    <col min="13573" max="13573" width="5.5703125" style="174" customWidth="1"/>
    <col min="13574" max="13574" width="11.5703125" style="174" customWidth="1"/>
    <col min="13575" max="13575" width="35.7109375" style="174" customWidth="1"/>
    <col min="13576" max="13576" width="9.140625" style="174" customWidth="1"/>
    <col min="13577" max="13577" width="11.5703125" style="174" customWidth="1"/>
    <col min="13578" max="13578" width="15.7109375" style="174" customWidth="1"/>
    <col min="13579" max="13579" width="13.42578125" style="174" customWidth="1"/>
    <col min="13580" max="13580" width="19.140625" style="174" customWidth="1"/>
    <col min="13581" max="13581" width="8.140625" style="174" customWidth="1"/>
    <col min="13582" max="13582" width="12.140625" style="174" customWidth="1"/>
    <col min="13583" max="13583" width="14.42578125" style="174" customWidth="1"/>
    <col min="13584" max="13584" width="13.5703125" style="174" customWidth="1"/>
    <col min="13585" max="13828" width="9.140625" style="174"/>
    <col min="13829" max="13829" width="5.5703125" style="174" customWidth="1"/>
    <col min="13830" max="13830" width="11.5703125" style="174" customWidth="1"/>
    <col min="13831" max="13831" width="35.7109375" style="174" customWidth="1"/>
    <col min="13832" max="13832" width="9.140625" style="174" customWidth="1"/>
    <col min="13833" max="13833" width="11.5703125" style="174" customWidth="1"/>
    <col min="13834" max="13834" width="15.7109375" style="174" customWidth="1"/>
    <col min="13835" max="13835" width="13.42578125" style="174" customWidth="1"/>
    <col min="13836" max="13836" width="19.140625" style="174" customWidth="1"/>
    <col min="13837" max="13837" width="8.140625" style="174" customWidth="1"/>
    <col min="13838" max="13838" width="12.140625" style="174" customWidth="1"/>
    <col min="13839" max="13839" width="14.42578125" style="174" customWidth="1"/>
    <col min="13840" max="13840" width="13.5703125" style="174" customWidth="1"/>
    <col min="13841" max="14084" width="9.140625" style="174"/>
    <col min="14085" max="14085" width="5.5703125" style="174" customWidth="1"/>
    <col min="14086" max="14086" width="11.5703125" style="174" customWidth="1"/>
    <col min="14087" max="14087" width="35.7109375" style="174" customWidth="1"/>
    <col min="14088" max="14088" width="9.140625" style="174" customWidth="1"/>
    <col min="14089" max="14089" width="11.5703125" style="174" customWidth="1"/>
    <col min="14090" max="14090" width="15.7109375" style="174" customWidth="1"/>
    <col min="14091" max="14091" width="13.42578125" style="174" customWidth="1"/>
    <col min="14092" max="14092" width="19.140625" style="174" customWidth="1"/>
    <col min="14093" max="14093" width="8.140625" style="174" customWidth="1"/>
    <col min="14094" max="14094" width="12.140625" style="174" customWidth="1"/>
    <col min="14095" max="14095" width="14.42578125" style="174" customWidth="1"/>
    <col min="14096" max="14096" width="13.5703125" style="174" customWidth="1"/>
    <col min="14097" max="14340" width="9.140625" style="174"/>
    <col min="14341" max="14341" width="5.5703125" style="174" customWidth="1"/>
    <col min="14342" max="14342" width="11.5703125" style="174" customWidth="1"/>
    <col min="14343" max="14343" width="35.7109375" style="174" customWidth="1"/>
    <col min="14344" max="14344" width="9.140625" style="174" customWidth="1"/>
    <col min="14345" max="14345" width="11.5703125" style="174" customWidth="1"/>
    <col min="14346" max="14346" width="15.7109375" style="174" customWidth="1"/>
    <col min="14347" max="14347" width="13.42578125" style="174" customWidth="1"/>
    <col min="14348" max="14348" width="19.140625" style="174" customWidth="1"/>
    <col min="14349" max="14349" width="8.140625" style="174" customWidth="1"/>
    <col min="14350" max="14350" width="12.140625" style="174" customWidth="1"/>
    <col min="14351" max="14351" width="14.42578125" style="174" customWidth="1"/>
    <col min="14352" max="14352" width="13.5703125" style="174" customWidth="1"/>
    <col min="14353" max="14596" width="9.140625" style="174"/>
    <col min="14597" max="14597" width="5.5703125" style="174" customWidth="1"/>
    <col min="14598" max="14598" width="11.5703125" style="174" customWidth="1"/>
    <col min="14599" max="14599" width="35.7109375" style="174" customWidth="1"/>
    <col min="14600" max="14600" width="9.140625" style="174" customWidth="1"/>
    <col min="14601" max="14601" width="11.5703125" style="174" customWidth="1"/>
    <col min="14602" max="14602" width="15.7109375" style="174" customWidth="1"/>
    <col min="14603" max="14603" width="13.42578125" style="174" customWidth="1"/>
    <col min="14604" max="14604" width="19.140625" style="174" customWidth="1"/>
    <col min="14605" max="14605" width="8.140625" style="174" customWidth="1"/>
    <col min="14606" max="14606" width="12.140625" style="174" customWidth="1"/>
    <col min="14607" max="14607" width="14.42578125" style="174" customWidth="1"/>
    <col min="14608" max="14608" width="13.5703125" style="174" customWidth="1"/>
    <col min="14609" max="14852" width="9.140625" style="174"/>
    <col min="14853" max="14853" width="5.5703125" style="174" customWidth="1"/>
    <col min="14854" max="14854" width="11.5703125" style="174" customWidth="1"/>
    <col min="14855" max="14855" width="35.7109375" style="174" customWidth="1"/>
    <col min="14856" max="14856" width="9.140625" style="174" customWidth="1"/>
    <col min="14857" max="14857" width="11.5703125" style="174" customWidth="1"/>
    <col min="14858" max="14858" width="15.7109375" style="174" customWidth="1"/>
    <col min="14859" max="14859" width="13.42578125" style="174" customWidth="1"/>
    <col min="14860" max="14860" width="19.140625" style="174" customWidth="1"/>
    <col min="14861" max="14861" width="8.140625" style="174" customWidth="1"/>
    <col min="14862" max="14862" width="12.140625" style="174" customWidth="1"/>
    <col min="14863" max="14863" width="14.42578125" style="174" customWidth="1"/>
    <col min="14864" max="14864" width="13.5703125" style="174" customWidth="1"/>
    <col min="14865" max="15108" width="9.140625" style="174"/>
    <col min="15109" max="15109" width="5.5703125" style="174" customWidth="1"/>
    <col min="15110" max="15110" width="11.5703125" style="174" customWidth="1"/>
    <col min="15111" max="15111" width="35.7109375" style="174" customWidth="1"/>
    <col min="15112" max="15112" width="9.140625" style="174" customWidth="1"/>
    <col min="15113" max="15113" width="11.5703125" style="174" customWidth="1"/>
    <col min="15114" max="15114" width="15.7109375" style="174" customWidth="1"/>
    <col min="15115" max="15115" width="13.42578125" style="174" customWidth="1"/>
    <col min="15116" max="15116" width="19.140625" style="174" customWidth="1"/>
    <col min="15117" max="15117" width="8.140625" style="174" customWidth="1"/>
    <col min="15118" max="15118" width="12.140625" style="174" customWidth="1"/>
    <col min="15119" max="15119" width="14.42578125" style="174" customWidth="1"/>
    <col min="15120" max="15120" width="13.5703125" style="174" customWidth="1"/>
    <col min="15121" max="15364" width="9.140625" style="174"/>
    <col min="15365" max="15365" width="5.5703125" style="174" customWidth="1"/>
    <col min="15366" max="15366" width="11.5703125" style="174" customWidth="1"/>
    <col min="15367" max="15367" width="35.7109375" style="174" customWidth="1"/>
    <col min="15368" max="15368" width="9.140625" style="174" customWidth="1"/>
    <col min="15369" max="15369" width="11.5703125" style="174" customWidth="1"/>
    <col min="15370" max="15370" width="15.7109375" style="174" customWidth="1"/>
    <col min="15371" max="15371" width="13.42578125" style="174" customWidth="1"/>
    <col min="15372" max="15372" width="19.140625" style="174" customWidth="1"/>
    <col min="15373" max="15373" width="8.140625" style="174" customWidth="1"/>
    <col min="15374" max="15374" width="12.140625" style="174" customWidth="1"/>
    <col min="15375" max="15375" width="14.42578125" style="174" customWidth="1"/>
    <col min="15376" max="15376" width="13.5703125" style="174" customWidth="1"/>
    <col min="15377" max="15620" width="9.140625" style="174"/>
    <col min="15621" max="15621" width="5.5703125" style="174" customWidth="1"/>
    <col min="15622" max="15622" width="11.5703125" style="174" customWidth="1"/>
    <col min="15623" max="15623" width="35.7109375" style="174" customWidth="1"/>
    <col min="15624" max="15624" width="9.140625" style="174" customWidth="1"/>
    <col min="15625" max="15625" width="11.5703125" style="174" customWidth="1"/>
    <col min="15626" max="15626" width="15.7109375" style="174" customWidth="1"/>
    <col min="15627" max="15627" width="13.42578125" style="174" customWidth="1"/>
    <col min="15628" max="15628" width="19.140625" style="174" customWidth="1"/>
    <col min="15629" max="15629" width="8.140625" style="174" customWidth="1"/>
    <col min="15630" max="15630" width="12.140625" style="174" customWidth="1"/>
    <col min="15631" max="15631" width="14.42578125" style="174" customWidth="1"/>
    <col min="15632" max="15632" width="13.5703125" style="174" customWidth="1"/>
    <col min="15633" max="15876" width="9.140625" style="174"/>
    <col min="15877" max="15877" width="5.5703125" style="174" customWidth="1"/>
    <col min="15878" max="15878" width="11.5703125" style="174" customWidth="1"/>
    <col min="15879" max="15879" width="35.7109375" style="174" customWidth="1"/>
    <col min="15880" max="15880" width="9.140625" style="174" customWidth="1"/>
    <col min="15881" max="15881" width="11.5703125" style="174" customWidth="1"/>
    <col min="15882" max="15882" width="15.7109375" style="174" customWidth="1"/>
    <col min="15883" max="15883" width="13.42578125" style="174" customWidth="1"/>
    <col min="15884" max="15884" width="19.140625" style="174" customWidth="1"/>
    <col min="15885" max="15885" width="8.140625" style="174" customWidth="1"/>
    <col min="15886" max="15886" width="12.140625" style="174" customWidth="1"/>
    <col min="15887" max="15887" width="14.42578125" style="174" customWidth="1"/>
    <col min="15888" max="15888" width="13.5703125" style="174" customWidth="1"/>
    <col min="15889" max="16132" width="9.140625" style="174"/>
    <col min="16133" max="16133" width="5.5703125" style="174" customWidth="1"/>
    <col min="16134" max="16134" width="11.5703125" style="174" customWidth="1"/>
    <col min="16135" max="16135" width="35.7109375" style="174" customWidth="1"/>
    <col min="16136" max="16136" width="9.140625" style="174" customWidth="1"/>
    <col min="16137" max="16137" width="11.5703125" style="174" customWidth="1"/>
    <col min="16138" max="16138" width="15.7109375" style="174" customWidth="1"/>
    <col min="16139" max="16139" width="13.42578125" style="174" customWidth="1"/>
    <col min="16140" max="16140" width="19.140625" style="174" customWidth="1"/>
    <col min="16141" max="16141" width="8.140625" style="174" customWidth="1"/>
    <col min="16142" max="16142" width="12.140625" style="174" customWidth="1"/>
    <col min="16143" max="16143" width="14.42578125" style="174" customWidth="1"/>
    <col min="16144" max="16144" width="13.5703125" style="174" customWidth="1"/>
    <col min="16145" max="16384" width="9.140625" style="174"/>
  </cols>
  <sheetData>
    <row r="1" spans="1:25" x14ac:dyDescent="0.2">
      <c r="X1" s="210" t="s">
        <v>600</v>
      </c>
    </row>
    <row r="2" spans="1:25" x14ac:dyDescent="0.2">
      <c r="X2" s="210" t="s">
        <v>601</v>
      </c>
    </row>
    <row r="3" spans="1:25" x14ac:dyDescent="0.2">
      <c r="X3" s="210" t="s">
        <v>602</v>
      </c>
    </row>
    <row r="4" spans="1:25" x14ac:dyDescent="0.2">
      <c r="X4" s="210" t="s">
        <v>802</v>
      </c>
    </row>
    <row r="5" spans="1:25" s="211" customFormat="1" ht="27.75" customHeight="1" x14ac:dyDescent="0.25">
      <c r="A5" s="848" t="s">
        <v>599</v>
      </c>
      <c r="B5" s="848"/>
      <c r="C5" s="848"/>
      <c r="D5" s="848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848"/>
      <c r="X5" s="212"/>
    </row>
    <row r="6" spans="1:25" ht="20.25" customHeight="1" x14ac:dyDescent="0.2">
      <c r="A6" s="849" t="s">
        <v>551</v>
      </c>
      <c r="B6" s="850" t="s">
        <v>326</v>
      </c>
      <c r="C6" s="851" t="s">
        <v>552</v>
      </c>
      <c r="D6" s="852" t="s">
        <v>553</v>
      </c>
      <c r="E6" s="845" t="s">
        <v>598</v>
      </c>
      <c r="F6" s="853" t="s">
        <v>447</v>
      </c>
      <c r="G6" s="854"/>
      <c r="H6" s="854"/>
      <c r="I6" s="854"/>
      <c r="J6" s="854"/>
      <c r="K6" s="854"/>
      <c r="L6" s="854"/>
      <c r="M6" s="854"/>
      <c r="N6" s="854"/>
      <c r="O6" s="845" t="s">
        <v>714</v>
      </c>
      <c r="P6" s="853" t="s">
        <v>447</v>
      </c>
      <c r="Q6" s="854"/>
      <c r="R6" s="854"/>
      <c r="S6" s="854"/>
      <c r="T6" s="854"/>
      <c r="U6" s="855"/>
      <c r="V6" s="845" t="s">
        <v>554</v>
      </c>
      <c r="W6" s="841" t="s">
        <v>555</v>
      </c>
      <c r="X6" s="845" t="s">
        <v>413</v>
      </c>
    </row>
    <row r="7" spans="1:25" ht="37.5" customHeight="1" x14ac:dyDescent="0.2">
      <c r="A7" s="849"/>
      <c r="B7" s="850"/>
      <c r="C7" s="851"/>
      <c r="D7" s="852"/>
      <c r="E7" s="845"/>
      <c r="F7" s="845" t="s">
        <v>556</v>
      </c>
      <c r="G7" s="845" t="s">
        <v>447</v>
      </c>
      <c r="H7" s="845"/>
      <c r="I7" s="841" t="s">
        <v>557</v>
      </c>
      <c r="J7" s="856" t="s">
        <v>763</v>
      </c>
      <c r="K7" s="846" t="s">
        <v>727</v>
      </c>
      <c r="L7" s="843" t="s">
        <v>558</v>
      </c>
      <c r="M7" s="570" t="s">
        <v>743</v>
      </c>
      <c r="N7" s="845" t="s">
        <v>603</v>
      </c>
      <c r="O7" s="845"/>
      <c r="P7" s="845" t="s">
        <v>559</v>
      </c>
      <c r="Q7" s="841" t="s">
        <v>728</v>
      </c>
      <c r="R7" s="843" t="s">
        <v>560</v>
      </c>
      <c r="S7" s="843" t="s">
        <v>561</v>
      </c>
      <c r="T7" s="841" t="s">
        <v>744</v>
      </c>
      <c r="U7" s="841" t="s">
        <v>562</v>
      </c>
      <c r="V7" s="845"/>
      <c r="W7" s="844"/>
      <c r="X7" s="845"/>
    </row>
    <row r="8" spans="1:25" ht="93.75" customHeight="1" x14ac:dyDescent="0.2">
      <c r="A8" s="849"/>
      <c r="B8" s="850"/>
      <c r="C8" s="851"/>
      <c r="D8" s="852"/>
      <c r="E8" s="845"/>
      <c r="F8" s="845"/>
      <c r="G8" s="176" t="s">
        <v>563</v>
      </c>
      <c r="H8" s="176" t="s">
        <v>564</v>
      </c>
      <c r="I8" s="842"/>
      <c r="J8" s="857"/>
      <c r="K8" s="847"/>
      <c r="L8" s="843"/>
      <c r="M8" s="571" t="s">
        <v>751</v>
      </c>
      <c r="N8" s="845"/>
      <c r="O8" s="845"/>
      <c r="P8" s="845"/>
      <c r="Q8" s="842"/>
      <c r="R8" s="843"/>
      <c r="S8" s="843"/>
      <c r="T8" s="842"/>
      <c r="U8" s="842"/>
      <c r="V8" s="845"/>
      <c r="W8" s="842"/>
      <c r="X8" s="845"/>
    </row>
    <row r="9" spans="1:25" x14ac:dyDescent="0.2">
      <c r="A9" s="177">
        <v>1</v>
      </c>
      <c r="B9" s="178" t="s">
        <v>76</v>
      </c>
      <c r="C9" s="179" t="s">
        <v>77</v>
      </c>
      <c r="D9" s="180" t="s">
        <v>565</v>
      </c>
      <c r="E9" s="181">
        <v>3062</v>
      </c>
      <c r="F9" s="181">
        <v>0</v>
      </c>
      <c r="G9" s="181">
        <v>0</v>
      </c>
      <c r="H9" s="181"/>
      <c r="I9" s="181">
        <v>0</v>
      </c>
      <c r="J9" s="181">
        <v>2</v>
      </c>
      <c r="K9" s="181">
        <v>0</v>
      </c>
      <c r="L9" s="181"/>
      <c r="M9" s="181"/>
      <c r="N9" s="181">
        <v>3060</v>
      </c>
      <c r="O9" s="180"/>
      <c r="P9" s="180"/>
      <c r="Q9" s="180"/>
      <c r="R9" s="180"/>
      <c r="S9" s="180"/>
      <c r="T9" s="180"/>
      <c r="U9" s="180"/>
      <c r="V9" s="181">
        <v>3062</v>
      </c>
      <c r="W9" s="181">
        <v>0</v>
      </c>
      <c r="X9" s="181">
        <f>V9+W9</f>
        <v>3062</v>
      </c>
      <c r="Y9" s="182"/>
    </row>
    <row r="10" spans="1:25" ht="11.25" customHeight="1" x14ac:dyDescent="0.2">
      <c r="A10" s="177">
        <v>2</v>
      </c>
      <c r="B10" s="183" t="s">
        <v>210</v>
      </c>
      <c r="C10" s="179" t="s">
        <v>211</v>
      </c>
      <c r="D10" s="180" t="s">
        <v>565</v>
      </c>
      <c r="E10" s="181">
        <v>1884</v>
      </c>
      <c r="F10" s="181">
        <v>0</v>
      </c>
      <c r="G10" s="181">
        <v>0</v>
      </c>
      <c r="H10" s="181"/>
      <c r="I10" s="181">
        <v>0</v>
      </c>
      <c r="J10" s="181">
        <v>0</v>
      </c>
      <c r="K10" s="181">
        <v>0</v>
      </c>
      <c r="L10" s="181"/>
      <c r="M10" s="181"/>
      <c r="N10" s="181">
        <v>1884</v>
      </c>
      <c r="O10" s="180"/>
      <c r="P10" s="180"/>
      <c r="Q10" s="180"/>
      <c r="R10" s="180"/>
      <c r="S10" s="180"/>
      <c r="T10" s="180"/>
      <c r="U10" s="180"/>
      <c r="V10" s="181">
        <v>1884</v>
      </c>
      <c r="W10" s="181">
        <v>0</v>
      </c>
      <c r="X10" s="181">
        <f t="shared" ref="X10:X70" si="0">V10+W10</f>
        <v>1884</v>
      </c>
    </row>
    <row r="11" spans="1:25" x14ac:dyDescent="0.2">
      <c r="A11" s="177">
        <v>3</v>
      </c>
      <c r="B11" s="178" t="s">
        <v>78</v>
      </c>
      <c r="C11" s="179" t="s">
        <v>79</v>
      </c>
      <c r="D11" s="180" t="s">
        <v>565</v>
      </c>
      <c r="E11" s="181">
        <v>4018</v>
      </c>
      <c r="F11" s="181">
        <v>0</v>
      </c>
      <c r="G11" s="181">
        <v>0</v>
      </c>
      <c r="H11" s="181"/>
      <c r="I11" s="181">
        <v>0</v>
      </c>
      <c r="J11" s="181">
        <v>0</v>
      </c>
      <c r="K11" s="181">
        <v>0</v>
      </c>
      <c r="L11" s="181"/>
      <c r="M11" s="181"/>
      <c r="N11" s="181">
        <v>4018</v>
      </c>
      <c r="O11" s="180"/>
      <c r="P11" s="180"/>
      <c r="Q11" s="180"/>
      <c r="R11" s="180"/>
      <c r="S11" s="180"/>
      <c r="T11" s="180"/>
      <c r="U11" s="180"/>
      <c r="V11" s="181">
        <v>4018</v>
      </c>
      <c r="W11" s="181">
        <v>0</v>
      </c>
      <c r="X11" s="181">
        <f t="shared" si="0"/>
        <v>4018</v>
      </c>
    </row>
    <row r="12" spans="1:25" x14ac:dyDescent="0.2">
      <c r="A12" s="177">
        <v>4</v>
      </c>
      <c r="B12" s="184" t="s">
        <v>54</v>
      </c>
      <c r="C12" s="179" t="s">
        <v>55</v>
      </c>
      <c r="D12" s="180" t="s">
        <v>565</v>
      </c>
      <c r="E12" s="181">
        <v>2213</v>
      </c>
      <c r="F12" s="181">
        <v>0</v>
      </c>
      <c r="G12" s="181">
        <v>0</v>
      </c>
      <c r="H12" s="181"/>
      <c r="I12" s="181">
        <v>0</v>
      </c>
      <c r="J12" s="181">
        <v>5</v>
      </c>
      <c r="K12" s="181">
        <v>0</v>
      </c>
      <c r="L12" s="181"/>
      <c r="M12" s="181"/>
      <c r="N12" s="181">
        <v>2208</v>
      </c>
      <c r="O12" s="180"/>
      <c r="P12" s="180"/>
      <c r="Q12" s="180"/>
      <c r="R12" s="180"/>
      <c r="S12" s="180"/>
      <c r="T12" s="180"/>
      <c r="U12" s="180"/>
      <c r="V12" s="181">
        <v>2213</v>
      </c>
      <c r="W12" s="181">
        <v>0</v>
      </c>
      <c r="X12" s="181">
        <f t="shared" si="0"/>
        <v>2213</v>
      </c>
    </row>
    <row r="13" spans="1:25" x14ac:dyDescent="0.2">
      <c r="A13" s="177">
        <v>5</v>
      </c>
      <c r="B13" s="178" t="s">
        <v>80</v>
      </c>
      <c r="C13" s="179" t="s">
        <v>81</v>
      </c>
      <c r="D13" s="180" t="s">
        <v>565</v>
      </c>
      <c r="E13" s="181">
        <v>6499</v>
      </c>
      <c r="F13" s="181">
        <v>0</v>
      </c>
      <c r="G13" s="181">
        <v>0</v>
      </c>
      <c r="H13" s="181"/>
      <c r="I13" s="181">
        <v>0</v>
      </c>
      <c r="J13" s="181">
        <v>0</v>
      </c>
      <c r="K13" s="181">
        <v>0</v>
      </c>
      <c r="L13" s="181"/>
      <c r="M13" s="181"/>
      <c r="N13" s="181">
        <v>6499</v>
      </c>
      <c r="O13" s="180"/>
      <c r="P13" s="180"/>
      <c r="Q13" s="180"/>
      <c r="R13" s="180"/>
      <c r="S13" s="180"/>
      <c r="T13" s="180"/>
      <c r="U13" s="180"/>
      <c r="V13" s="181">
        <v>6499</v>
      </c>
      <c r="W13" s="181">
        <v>0</v>
      </c>
      <c r="X13" s="181">
        <f t="shared" si="0"/>
        <v>6499</v>
      </c>
    </row>
    <row r="14" spans="1:25" x14ac:dyDescent="0.2">
      <c r="A14" s="177">
        <v>6</v>
      </c>
      <c r="B14" s="184" t="s">
        <v>118</v>
      </c>
      <c r="C14" s="179" t="s">
        <v>119</v>
      </c>
      <c r="D14" s="180" t="s">
        <v>565</v>
      </c>
      <c r="E14" s="181">
        <v>2955</v>
      </c>
      <c r="F14" s="181">
        <v>0</v>
      </c>
      <c r="G14" s="181">
        <v>0</v>
      </c>
      <c r="H14" s="181"/>
      <c r="I14" s="181">
        <v>0</v>
      </c>
      <c r="J14" s="181">
        <v>7</v>
      </c>
      <c r="K14" s="181">
        <v>0</v>
      </c>
      <c r="L14" s="181"/>
      <c r="M14" s="181"/>
      <c r="N14" s="181">
        <v>2948</v>
      </c>
      <c r="O14" s="180"/>
      <c r="P14" s="180"/>
      <c r="Q14" s="180"/>
      <c r="R14" s="180"/>
      <c r="S14" s="180"/>
      <c r="T14" s="180"/>
      <c r="U14" s="180"/>
      <c r="V14" s="181">
        <v>2955</v>
      </c>
      <c r="W14" s="181">
        <v>0</v>
      </c>
      <c r="X14" s="181">
        <f t="shared" si="0"/>
        <v>2955</v>
      </c>
    </row>
    <row r="15" spans="1:25" x14ac:dyDescent="0.2">
      <c r="A15" s="177">
        <v>7</v>
      </c>
      <c r="B15" s="183" t="s">
        <v>56</v>
      </c>
      <c r="C15" s="179" t="s">
        <v>57</v>
      </c>
      <c r="D15" s="180" t="s">
        <v>565</v>
      </c>
      <c r="E15" s="181">
        <v>1804</v>
      </c>
      <c r="F15" s="181">
        <v>0</v>
      </c>
      <c r="G15" s="181">
        <v>0</v>
      </c>
      <c r="H15" s="181"/>
      <c r="I15" s="181">
        <v>0</v>
      </c>
      <c r="J15" s="181">
        <v>4</v>
      </c>
      <c r="K15" s="181">
        <v>0</v>
      </c>
      <c r="L15" s="181"/>
      <c r="M15" s="181"/>
      <c r="N15" s="181">
        <v>1800</v>
      </c>
      <c r="O15" s="180"/>
      <c r="P15" s="180"/>
      <c r="Q15" s="180"/>
      <c r="R15" s="180"/>
      <c r="S15" s="180"/>
      <c r="T15" s="180"/>
      <c r="U15" s="180"/>
      <c r="V15" s="181">
        <v>1804</v>
      </c>
      <c r="W15" s="181">
        <v>0</v>
      </c>
      <c r="X15" s="181">
        <f t="shared" si="0"/>
        <v>1804</v>
      </c>
    </row>
    <row r="16" spans="1:25" x14ac:dyDescent="0.2">
      <c r="A16" s="177">
        <v>8</v>
      </c>
      <c r="B16" s="178" t="s">
        <v>212</v>
      </c>
      <c r="C16" s="179" t="s">
        <v>213</v>
      </c>
      <c r="D16" s="180" t="s">
        <v>565</v>
      </c>
      <c r="E16" s="181">
        <v>2127</v>
      </c>
      <c r="F16" s="181">
        <v>0</v>
      </c>
      <c r="G16" s="181">
        <v>0</v>
      </c>
      <c r="H16" s="181"/>
      <c r="I16" s="181">
        <v>0</v>
      </c>
      <c r="J16" s="181">
        <v>0</v>
      </c>
      <c r="K16" s="181">
        <v>0</v>
      </c>
      <c r="L16" s="181"/>
      <c r="M16" s="181"/>
      <c r="N16" s="181">
        <v>2127</v>
      </c>
      <c r="O16" s="180"/>
      <c r="P16" s="180"/>
      <c r="Q16" s="180"/>
      <c r="R16" s="180"/>
      <c r="S16" s="180"/>
      <c r="T16" s="180"/>
      <c r="U16" s="180"/>
      <c r="V16" s="181">
        <v>2127</v>
      </c>
      <c r="W16" s="181">
        <v>0</v>
      </c>
      <c r="X16" s="181">
        <f t="shared" si="0"/>
        <v>2127</v>
      </c>
    </row>
    <row r="17" spans="1:24" ht="12" customHeight="1" x14ac:dyDescent="0.2">
      <c r="A17" s="177">
        <v>9</v>
      </c>
      <c r="B17" s="185" t="s">
        <v>122</v>
      </c>
      <c r="C17" s="179" t="s">
        <v>123</v>
      </c>
      <c r="D17" s="180" t="s">
        <v>565</v>
      </c>
      <c r="E17" s="181">
        <v>2286</v>
      </c>
      <c r="F17" s="181">
        <v>0</v>
      </c>
      <c r="G17" s="181">
        <v>0</v>
      </c>
      <c r="H17" s="181"/>
      <c r="I17" s="181">
        <v>0</v>
      </c>
      <c r="J17" s="181">
        <v>0</v>
      </c>
      <c r="K17" s="181">
        <v>0</v>
      </c>
      <c r="L17" s="181"/>
      <c r="M17" s="181"/>
      <c r="N17" s="181">
        <v>2286</v>
      </c>
      <c r="O17" s="180"/>
      <c r="P17" s="180"/>
      <c r="Q17" s="180"/>
      <c r="R17" s="180"/>
      <c r="S17" s="180"/>
      <c r="T17" s="180"/>
      <c r="U17" s="180"/>
      <c r="V17" s="181">
        <v>2286</v>
      </c>
      <c r="W17" s="181">
        <v>0</v>
      </c>
      <c r="X17" s="181">
        <f t="shared" si="0"/>
        <v>2286</v>
      </c>
    </row>
    <row r="18" spans="1:24" x14ac:dyDescent="0.2">
      <c r="A18" s="177">
        <v>10</v>
      </c>
      <c r="B18" s="178" t="s">
        <v>214</v>
      </c>
      <c r="C18" s="179" t="s">
        <v>215</v>
      </c>
      <c r="D18" s="180" t="s">
        <v>565</v>
      </c>
      <c r="E18" s="181">
        <v>5098</v>
      </c>
      <c r="F18" s="181">
        <v>0</v>
      </c>
      <c r="G18" s="181">
        <v>0</v>
      </c>
      <c r="H18" s="181"/>
      <c r="I18" s="181">
        <v>0</v>
      </c>
      <c r="J18" s="181">
        <v>0</v>
      </c>
      <c r="K18" s="181">
        <v>0</v>
      </c>
      <c r="L18" s="181"/>
      <c r="M18" s="181"/>
      <c r="N18" s="181">
        <v>5098</v>
      </c>
      <c r="O18" s="180"/>
      <c r="P18" s="180"/>
      <c r="Q18" s="180"/>
      <c r="R18" s="180"/>
      <c r="S18" s="180"/>
      <c r="T18" s="180"/>
      <c r="U18" s="180"/>
      <c r="V18" s="181">
        <v>5098</v>
      </c>
      <c r="W18" s="181">
        <v>0</v>
      </c>
      <c r="X18" s="181">
        <f t="shared" si="0"/>
        <v>5098</v>
      </c>
    </row>
    <row r="19" spans="1:24" x14ac:dyDescent="0.2">
      <c r="A19" s="177">
        <v>11</v>
      </c>
      <c r="B19" s="183" t="s">
        <v>216</v>
      </c>
      <c r="C19" s="179" t="s">
        <v>217</v>
      </c>
      <c r="D19" s="180" t="s">
        <v>565</v>
      </c>
      <c r="E19" s="181">
        <v>2513</v>
      </c>
      <c r="F19" s="181">
        <v>0</v>
      </c>
      <c r="G19" s="181">
        <v>0</v>
      </c>
      <c r="H19" s="181"/>
      <c r="I19" s="181">
        <v>0</v>
      </c>
      <c r="J19" s="181">
        <v>16</v>
      </c>
      <c r="K19" s="181">
        <v>0</v>
      </c>
      <c r="L19" s="181"/>
      <c r="M19" s="181"/>
      <c r="N19" s="181">
        <v>2497</v>
      </c>
      <c r="O19" s="180"/>
      <c r="P19" s="180"/>
      <c r="Q19" s="180"/>
      <c r="R19" s="180"/>
      <c r="S19" s="180"/>
      <c r="T19" s="180"/>
      <c r="U19" s="180"/>
      <c r="V19" s="181">
        <v>2513</v>
      </c>
      <c r="W19" s="181">
        <v>0</v>
      </c>
      <c r="X19" s="181">
        <f t="shared" si="0"/>
        <v>2513</v>
      </c>
    </row>
    <row r="20" spans="1:24" x14ac:dyDescent="0.2">
      <c r="A20" s="177">
        <v>12</v>
      </c>
      <c r="B20" s="183" t="s">
        <v>124</v>
      </c>
      <c r="C20" s="179" t="s">
        <v>125</v>
      </c>
      <c r="D20" s="180" t="s">
        <v>565</v>
      </c>
      <c r="E20" s="181">
        <v>3451</v>
      </c>
      <c r="F20" s="181">
        <v>2</v>
      </c>
      <c r="G20" s="181">
        <v>0</v>
      </c>
      <c r="H20" s="181">
        <v>2</v>
      </c>
      <c r="I20" s="181">
        <v>0</v>
      </c>
      <c r="J20" s="181">
        <v>3</v>
      </c>
      <c r="K20" s="181">
        <v>0</v>
      </c>
      <c r="L20" s="181"/>
      <c r="M20" s="181"/>
      <c r="N20" s="181">
        <v>3446</v>
      </c>
      <c r="O20" s="180"/>
      <c r="P20" s="180"/>
      <c r="Q20" s="180"/>
      <c r="R20" s="180"/>
      <c r="S20" s="180"/>
      <c r="T20" s="180"/>
      <c r="U20" s="180"/>
      <c r="V20" s="181">
        <v>3451</v>
      </c>
      <c r="W20" s="181">
        <v>0</v>
      </c>
      <c r="X20" s="181">
        <f t="shared" si="0"/>
        <v>3451</v>
      </c>
    </row>
    <row r="21" spans="1:24" x14ac:dyDescent="0.2">
      <c r="A21" s="177">
        <v>13</v>
      </c>
      <c r="B21" s="184" t="s">
        <v>58</v>
      </c>
      <c r="C21" s="179" t="s">
        <v>59</v>
      </c>
      <c r="D21" s="180" t="s">
        <v>565</v>
      </c>
      <c r="E21" s="181">
        <v>1994</v>
      </c>
      <c r="F21" s="181">
        <v>0</v>
      </c>
      <c r="G21" s="181">
        <v>0</v>
      </c>
      <c r="H21" s="181"/>
      <c r="I21" s="181">
        <v>0</v>
      </c>
      <c r="J21" s="181">
        <v>0</v>
      </c>
      <c r="K21" s="181">
        <v>0</v>
      </c>
      <c r="L21" s="181"/>
      <c r="M21" s="181"/>
      <c r="N21" s="181">
        <v>1994</v>
      </c>
      <c r="O21" s="180"/>
      <c r="P21" s="180"/>
      <c r="Q21" s="180"/>
      <c r="R21" s="180"/>
      <c r="S21" s="180"/>
      <c r="T21" s="180"/>
      <c r="U21" s="180"/>
      <c r="V21" s="181">
        <v>1994</v>
      </c>
      <c r="W21" s="181">
        <v>0</v>
      </c>
      <c r="X21" s="181">
        <f t="shared" si="0"/>
        <v>1994</v>
      </c>
    </row>
    <row r="22" spans="1:24" x14ac:dyDescent="0.2">
      <c r="A22" s="177">
        <v>14</v>
      </c>
      <c r="B22" s="184" t="s">
        <v>82</v>
      </c>
      <c r="C22" s="179" t="s">
        <v>83</v>
      </c>
      <c r="D22" s="180" t="s">
        <v>565</v>
      </c>
      <c r="E22" s="181">
        <v>1613</v>
      </c>
      <c r="F22" s="181">
        <v>0</v>
      </c>
      <c r="G22" s="181">
        <v>0</v>
      </c>
      <c r="H22" s="181"/>
      <c r="I22" s="181">
        <v>0</v>
      </c>
      <c r="J22" s="181">
        <v>3</v>
      </c>
      <c r="K22" s="181">
        <v>0</v>
      </c>
      <c r="L22" s="181"/>
      <c r="M22" s="181"/>
      <c r="N22" s="181">
        <v>1610</v>
      </c>
      <c r="O22" s="180"/>
      <c r="P22" s="180"/>
      <c r="Q22" s="180"/>
      <c r="R22" s="180"/>
      <c r="S22" s="180"/>
      <c r="T22" s="180"/>
      <c r="U22" s="180"/>
      <c r="V22" s="181">
        <v>1613</v>
      </c>
      <c r="W22" s="181">
        <v>0</v>
      </c>
      <c r="X22" s="181">
        <f t="shared" si="0"/>
        <v>1613</v>
      </c>
    </row>
    <row r="23" spans="1:24" x14ac:dyDescent="0.2">
      <c r="A23" s="177">
        <v>15</v>
      </c>
      <c r="B23" s="184" t="s">
        <v>60</v>
      </c>
      <c r="C23" s="179" t="s">
        <v>61</v>
      </c>
      <c r="D23" s="180" t="s">
        <v>565</v>
      </c>
      <c r="E23" s="181">
        <v>2404</v>
      </c>
      <c r="F23" s="181">
        <v>0</v>
      </c>
      <c r="G23" s="181">
        <v>0</v>
      </c>
      <c r="H23" s="181"/>
      <c r="I23" s="181">
        <v>0</v>
      </c>
      <c r="J23" s="181">
        <v>2</v>
      </c>
      <c r="K23" s="181">
        <v>0</v>
      </c>
      <c r="L23" s="181"/>
      <c r="M23" s="181"/>
      <c r="N23" s="181">
        <v>2402</v>
      </c>
      <c r="O23" s="180"/>
      <c r="P23" s="180"/>
      <c r="Q23" s="180"/>
      <c r="R23" s="180"/>
      <c r="S23" s="180"/>
      <c r="T23" s="180"/>
      <c r="U23" s="180"/>
      <c r="V23" s="181">
        <v>2404</v>
      </c>
      <c r="W23" s="181">
        <v>0</v>
      </c>
      <c r="X23" s="181">
        <f t="shared" si="0"/>
        <v>2404</v>
      </c>
    </row>
    <row r="24" spans="1:24" x14ac:dyDescent="0.2">
      <c r="A24" s="177">
        <v>16</v>
      </c>
      <c r="B24" s="178" t="s">
        <v>126</v>
      </c>
      <c r="C24" s="179" t="s">
        <v>127</v>
      </c>
      <c r="D24" s="180" t="s">
        <v>565</v>
      </c>
      <c r="E24" s="181">
        <v>3406</v>
      </c>
      <c r="F24" s="181">
        <v>1</v>
      </c>
      <c r="G24" s="181">
        <v>0</v>
      </c>
      <c r="H24" s="181">
        <v>1</v>
      </c>
      <c r="I24" s="181">
        <v>0</v>
      </c>
      <c r="J24" s="181">
        <v>0</v>
      </c>
      <c r="K24" s="181">
        <v>0</v>
      </c>
      <c r="L24" s="181"/>
      <c r="M24" s="181"/>
      <c r="N24" s="181">
        <v>3405</v>
      </c>
      <c r="O24" s="180"/>
      <c r="P24" s="180"/>
      <c r="Q24" s="180"/>
      <c r="R24" s="180"/>
      <c r="S24" s="180"/>
      <c r="T24" s="180"/>
      <c r="U24" s="180"/>
      <c r="V24" s="181">
        <v>3406</v>
      </c>
      <c r="W24" s="181">
        <v>0</v>
      </c>
      <c r="X24" s="181">
        <f t="shared" si="0"/>
        <v>3406</v>
      </c>
    </row>
    <row r="25" spans="1:24" x14ac:dyDescent="0.2">
      <c r="A25" s="177">
        <v>17</v>
      </c>
      <c r="B25" s="183" t="s">
        <v>128</v>
      </c>
      <c r="C25" s="179" t="s">
        <v>129</v>
      </c>
      <c r="D25" s="180" t="s">
        <v>565</v>
      </c>
      <c r="E25" s="181">
        <v>4287</v>
      </c>
      <c r="F25" s="181">
        <v>0</v>
      </c>
      <c r="G25" s="181">
        <v>0</v>
      </c>
      <c r="H25" s="181"/>
      <c r="I25" s="181">
        <v>0</v>
      </c>
      <c r="J25" s="181">
        <v>0</v>
      </c>
      <c r="K25" s="181">
        <v>0</v>
      </c>
      <c r="L25" s="181"/>
      <c r="M25" s="181"/>
      <c r="N25" s="181">
        <v>4287</v>
      </c>
      <c r="O25" s="180"/>
      <c r="P25" s="180"/>
      <c r="Q25" s="180"/>
      <c r="R25" s="180"/>
      <c r="S25" s="180"/>
      <c r="T25" s="180"/>
      <c r="U25" s="180"/>
      <c r="V25" s="181">
        <v>4287</v>
      </c>
      <c r="W25" s="181">
        <v>0</v>
      </c>
      <c r="X25" s="181">
        <f t="shared" si="0"/>
        <v>4287</v>
      </c>
    </row>
    <row r="26" spans="1:24" x14ac:dyDescent="0.2">
      <c r="A26" s="177">
        <v>18</v>
      </c>
      <c r="B26" s="178" t="s">
        <v>130</v>
      </c>
      <c r="C26" s="179" t="s">
        <v>131</v>
      </c>
      <c r="D26" s="180" t="s">
        <v>565</v>
      </c>
      <c r="E26" s="181">
        <v>1582</v>
      </c>
      <c r="F26" s="181">
        <v>0</v>
      </c>
      <c r="G26" s="181">
        <v>0</v>
      </c>
      <c r="H26" s="181"/>
      <c r="I26" s="181">
        <v>0</v>
      </c>
      <c r="J26" s="181">
        <v>0</v>
      </c>
      <c r="K26" s="181">
        <v>0</v>
      </c>
      <c r="L26" s="181"/>
      <c r="M26" s="181"/>
      <c r="N26" s="181">
        <v>1582</v>
      </c>
      <c r="O26" s="180"/>
      <c r="P26" s="180"/>
      <c r="Q26" s="180"/>
      <c r="R26" s="180"/>
      <c r="S26" s="180"/>
      <c r="T26" s="180"/>
      <c r="U26" s="180"/>
      <c r="V26" s="181">
        <v>1582</v>
      </c>
      <c r="W26" s="181">
        <v>0</v>
      </c>
      <c r="X26" s="181">
        <f t="shared" si="0"/>
        <v>1582</v>
      </c>
    </row>
    <row r="27" spans="1:24" x14ac:dyDescent="0.2">
      <c r="A27" s="177">
        <v>19</v>
      </c>
      <c r="B27" s="184" t="s">
        <v>84</v>
      </c>
      <c r="C27" s="179" t="s">
        <v>85</v>
      </c>
      <c r="D27" s="180" t="s">
        <v>565</v>
      </c>
      <c r="E27" s="181">
        <v>1545</v>
      </c>
      <c r="F27" s="181">
        <v>0</v>
      </c>
      <c r="G27" s="181">
        <v>0</v>
      </c>
      <c r="H27" s="181"/>
      <c r="I27" s="181">
        <v>0</v>
      </c>
      <c r="J27" s="181">
        <v>0</v>
      </c>
      <c r="K27" s="181">
        <v>0</v>
      </c>
      <c r="L27" s="181"/>
      <c r="M27" s="181"/>
      <c r="N27" s="181">
        <v>1545</v>
      </c>
      <c r="O27" s="180"/>
      <c r="P27" s="180"/>
      <c r="Q27" s="180"/>
      <c r="R27" s="180"/>
      <c r="S27" s="180"/>
      <c r="T27" s="180"/>
      <c r="U27" s="180"/>
      <c r="V27" s="181">
        <v>1545</v>
      </c>
      <c r="W27" s="181">
        <v>0</v>
      </c>
      <c r="X27" s="181">
        <f t="shared" si="0"/>
        <v>1545</v>
      </c>
    </row>
    <row r="28" spans="1:24" x14ac:dyDescent="0.2">
      <c r="A28" s="177">
        <v>20</v>
      </c>
      <c r="B28" s="184" t="s">
        <v>218</v>
      </c>
      <c r="C28" s="179" t="s">
        <v>219</v>
      </c>
      <c r="D28" s="180" t="s">
        <v>565</v>
      </c>
      <c r="E28" s="181">
        <v>3529</v>
      </c>
      <c r="F28" s="181">
        <v>0</v>
      </c>
      <c r="G28" s="181">
        <v>0</v>
      </c>
      <c r="H28" s="181"/>
      <c r="I28" s="181">
        <v>0</v>
      </c>
      <c r="J28" s="181">
        <v>0</v>
      </c>
      <c r="K28" s="181">
        <v>0</v>
      </c>
      <c r="L28" s="181"/>
      <c r="M28" s="181"/>
      <c r="N28" s="181">
        <v>3529</v>
      </c>
      <c r="O28" s="180"/>
      <c r="P28" s="180"/>
      <c r="Q28" s="180"/>
      <c r="R28" s="180"/>
      <c r="S28" s="180"/>
      <c r="T28" s="180"/>
      <c r="U28" s="180"/>
      <c r="V28" s="181">
        <v>3529</v>
      </c>
      <c r="W28" s="181">
        <v>0</v>
      </c>
      <c r="X28" s="181">
        <f t="shared" si="0"/>
        <v>3529</v>
      </c>
    </row>
    <row r="29" spans="1:24" x14ac:dyDescent="0.2">
      <c r="A29" s="177">
        <v>21</v>
      </c>
      <c r="B29" s="183" t="s">
        <v>100</v>
      </c>
      <c r="C29" s="179" t="s">
        <v>101</v>
      </c>
      <c r="D29" s="180" t="s">
        <v>565</v>
      </c>
      <c r="E29" s="181">
        <v>2835</v>
      </c>
      <c r="F29" s="181">
        <v>0</v>
      </c>
      <c r="G29" s="181">
        <v>0</v>
      </c>
      <c r="H29" s="181"/>
      <c r="I29" s="181">
        <v>0</v>
      </c>
      <c r="J29" s="181">
        <v>0</v>
      </c>
      <c r="K29" s="181">
        <v>0</v>
      </c>
      <c r="L29" s="181"/>
      <c r="M29" s="181"/>
      <c r="N29" s="181">
        <v>2835</v>
      </c>
      <c r="O29" s="180"/>
      <c r="P29" s="180"/>
      <c r="Q29" s="180"/>
      <c r="R29" s="180"/>
      <c r="S29" s="180"/>
      <c r="T29" s="180"/>
      <c r="U29" s="180"/>
      <c r="V29" s="181">
        <v>2835</v>
      </c>
      <c r="W29" s="181">
        <v>0</v>
      </c>
      <c r="X29" s="181">
        <f t="shared" si="0"/>
        <v>2835</v>
      </c>
    </row>
    <row r="30" spans="1:24" x14ac:dyDescent="0.2">
      <c r="A30" s="177">
        <v>22</v>
      </c>
      <c r="B30" s="178" t="s">
        <v>64</v>
      </c>
      <c r="C30" s="179" t="s">
        <v>65</v>
      </c>
      <c r="D30" s="180" t="s">
        <v>565</v>
      </c>
      <c r="E30" s="181">
        <v>1967</v>
      </c>
      <c r="F30" s="181">
        <v>2</v>
      </c>
      <c r="G30" s="181">
        <v>0</v>
      </c>
      <c r="H30" s="181">
        <v>2</v>
      </c>
      <c r="I30" s="181">
        <v>0</v>
      </c>
      <c r="J30" s="181">
        <v>0</v>
      </c>
      <c r="K30" s="181">
        <v>0</v>
      </c>
      <c r="L30" s="181"/>
      <c r="M30" s="181"/>
      <c r="N30" s="181">
        <v>1965</v>
      </c>
      <c r="O30" s="180"/>
      <c r="P30" s="180"/>
      <c r="Q30" s="180"/>
      <c r="R30" s="180"/>
      <c r="S30" s="180"/>
      <c r="T30" s="180"/>
      <c r="U30" s="180"/>
      <c r="V30" s="181">
        <v>1967</v>
      </c>
      <c r="W30" s="181">
        <v>0</v>
      </c>
      <c r="X30" s="181">
        <f t="shared" si="0"/>
        <v>1967</v>
      </c>
    </row>
    <row r="31" spans="1:24" x14ac:dyDescent="0.2">
      <c r="A31" s="177">
        <v>23</v>
      </c>
      <c r="B31" s="178" t="s">
        <v>66</v>
      </c>
      <c r="C31" s="179" t="s">
        <v>67</v>
      </c>
      <c r="D31" s="180" t="s">
        <v>565</v>
      </c>
      <c r="E31" s="181">
        <v>2915</v>
      </c>
      <c r="F31" s="181">
        <v>0</v>
      </c>
      <c r="G31" s="181">
        <v>0</v>
      </c>
      <c r="H31" s="181"/>
      <c r="I31" s="181">
        <v>0</v>
      </c>
      <c r="J31" s="181">
        <v>0</v>
      </c>
      <c r="K31" s="181">
        <v>0</v>
      </c>
      <c r="L31" s="181"/>
      <c r="M31" s="181"/>
      <c r="N31" s="181">
        <v>2915</v>
      </c>
      <c r="O31" s="180"/>
      <c r="P31" s="180"/>
      <c r="Q31" s="180"/>
      <c r="R31" s="180"/>
      <c r="S31" s="180"/>
      <c r="T31" s="180"/>
      <c r="U31" s="180"/>
      <c r="V31" s="181">
        <v>2915</v>
      </c>
      <c r="W31" s="181">
        <v>0</v>
      </c>
      <c r="X31" s="181">
        <f t="shared" si="0"/>
        <v>2915</v>
      </c>
    </row>
    <row r="32" spans="1:24" x14ac:dyDescent="0.2">
      <c r="A32" s="177">
        <v>24</v>
      </c>
      <c r="B32" s="184" t="s">
        <v>220</v>
      </c>
      <c r="C32" s="179" t="s">
        <v>221</v>
      </c>
      <c r="D32" s="180" t="s">
        <v>565</v>
      </c>
      <c r="E32" s="181">
        <v>4565</v>
      </c>
      <c r="F32" s="181">
        <v>0</v>
      </c>
      <c r="G32" s="181">
        <v>0</v>
      </c>
      <c r="H32" s="181"/>
      <c r="I32" s="181">
        <v>0</v>
      </c>
      <c r="J32" s="181">
        <v>6</v>
      </c>
      <c r="K32" s="181">
        <v>0</v>
      </c>
      <c r="L32" s="181"/>
      <c r="M32" s="181"/>
      <c r="N32" s="181">
        <v>4559</v>
      </c>
      <c r="O32" s="180"/>
      <c r="P32" s="180"/>
      <c r="Q32" s="180"/>
      <c r="R32" s="180"/>
      <c r="S32" s="180"/>
      <c r="T32" s="180"/>
      <c r="U32" s="180"/>
      <c r="V32" s="181">
        <v>4565</v>
      </c>
      <c r="W32" s="181">
        <v>0</v>
      </c>
      <c r="X32" s="181">
        <f t="shared" si="0"/>
        <v>4565</v>
      </c>
    </row>
    <row r="33" spans="1:24" x14ac:dyDescent="0.2">
      <c r="A33" s="177">
        <v>25</v>
      </c>
      <c r="B33" s="178" t="s">
        <v>222</v>
      </c>
      <c r="C33" s="179" t="s">
        <v>223</v>
      </c>
      <c r="D33" s="180" t="s">
        <v>565</v>
      </c>
      <c r="E33" s="181">
        <v>1658</v>
      </c>
      <c r="F33" s="181">
        <v>0</v>
      </c>
      <c r="G33" s="181">
        <v>0</v>
      </c>
      <c r="H33" s="181"/>
      <c r="I33" s="181">
        <v>0</v>
      </c>
      <c r="J33" s="181">
        <v>4</v>
      </c>
      <c r="K33" s="181">
        <v>0</v>
      </c>
      <c r="L33" s="181"/>
      <c r="M33" s="181"/>
      <c r="N33" s="181">
        <v>1654</v>
      </c>
      <c r="O33" s="180"/>
      <c r="P33" s="180"/>
      <c r="Q33" s="180"/>
      <c r="R33" s="180"/>
      <c r="S33" s="180"/>
      <c r="T33" s="180"/>
      <c r="U33" s="180"/>
      <c r="V33" s="181">
        <v>1658</v>
      </c>
      <c r="W33" s="181">
        <v>0</v>
      </c>
      <c r="X33" s="181">
        <f t="shared" si="0"/>
        <v>1658</v>
      </c>
    </row>
    <row r="34" spans="1:24" x14ac:dyDescent="0.2">
      <c r="A34" s="177">
        <v>26</v>
      </c>
      <c r="B34" s="178" t="s">
        <v>68</v>
      </c>
      <c r="C34" s="179" t="s">
        <v>69</v>
      </c>
      <c r="D34" s="180" t="s">
        <v>565</v>
      </c>
      <c r="E34" s="181">
        <v>2092</v>
      </c>
      <c r="F34" s="181">
        <v>0</v>
      </c>
      <c r="G34" s="181">
        <v>0</v>
      </c>
      <c r="H34" s="181"/>
      <c r="I34" s="181">
        <v>0</v>
      </c>
      <c r="J34" s="181">
        <v>4</v>
      </c>
      <c r="K34" s="181">
        <v>0</v>
      </c>
      <c r="L34" s="181"/>
      <c r="M34" s="181"/>
      <c r="N34" s="181">
        <v>2088</v>
      </c>
      <c r="O34" s="180"/>
      <c r="P34" s="180"/>
      <c r="Q34" s="180"/>
      <c r="R34" s="180"/>
      <c r="S34" s="180"/>
      <c r="T34" s="180"/>
      <c r="U34" s="180"/>
      <c r="V34" s="181">
        <v>2092</v>
      </c>
      <c r="W34" s="181">
        <v>0</v>
      </c>
      <c r="X34" s="181">
        <f t="shared" si="0"/>
        <v>2092</v>
      </c>
    </row>
    <row r="35" spans="1:24" x14ac:dyDescent="0.2">
      <c r="A35" s="177">
        <v>27</v>
      </c>
      <c r="B35" s="183" t="s">
        <v>104</v>
      </c>
      <c r="C35" s="179" t="s">
        <v>105</v>
      </c>
      <c r="D35" s="180" t="s">
        <v>565</v>
      </c>
      <c r="E35" s="181">
        <v>3189</v>
      </c>
      <c r="F35" s="181">
        <v>0</v>
      </c>
      <c r="G35" s="181">
        <v>0</v>
      </c>
      <c r="H35" s="181"/>
      <c r="I35" s="181">
        <v>0</v>
      </c>
      <c r="J35" s="181">
        <v>12</v>
      </c>
      <c r="K35" s="181">
        <v>0</v>
      </c>
      <c r="L35" s="181"/>
      <c r="M35" s="181"/>
      <c r="N35" s="181">
        <v>3177</v>
      </c>
      <c r="O35" s="180"/>
      <c r="P35" s="180"/>
      <c r="Q35" s="180"/>
      <c r="R35" s="180"/>
      <c r="S35" s="180"/>
      <c r="T35" s="180"/>
      <c r="U35" s="180"/>
      <c r="V35" s="181">
        <v>3189</v>
      </c>
      <c r="W35" s="181">
        <v>0</v>
      </c>
      <c r="X35" s="181">
        <f t="shared" si="0"/>
        <v>3189</v>
      </c>
    </row>
    <row r="36" spans="1:24" x14ac:dyDescent="0.2">
      <c r="A36" s="177">
        <v>28</v>
      </c>
      <c r="B36" s="184" t="s">
        <v>224</v>
      </c>
      <c r="C36" s="179" t="s">
        <v>225</v>
      </c>
      <c r="D36" s="180" t="s">
        <v>565</v>
      </c>
      <c r="E36" s="181">
        <v>2522</v>
      </c>
      <c r="F36" s="181">
        <v>0</v>
      </c>
      <c r="G36" s="181">
        <v>0</v>
      </c>
      <c r="H36" s="181"/>
      <c r="I36" s="181">
        <v>0</v>
      </c>
      <c r="J36" s="181">
        <v>0</v>
      </c>
      <c r="K36" s="181">
        <v>0</v>
      </c>
      <c r="L36" s="181"/>
      <c r="M36" s="181"/>
      <c r="N36" s="181">
        <v>2522</v>
      </c>
      <c r="O36" s="180"/>
      <c r="P36" s="180"/>
      <c r="Q36" s="180"/>
      <c r="R36" s="180"/>
      <c r="S36" s="180"/>
      <c r="T36" s="180"/>
      <c r="U36" s="180"/>
      <c r="V36" s="181">
        <v>2522</v>
      </c>
      <c r="W36" s="181">
        <v>0</v>
      </c>
      <c r="X36" s="181">
        <f t="shared" si="0"/>
        <v>2522</v>
      </c>
    </row>
    <row r="37" spans="1:24" x14ac:dyDescent="0.2">
      <c r="A37" s="177">
        <v>29</v>
      </c>
      <c r="B37" s="178" t="s">
        <v>70</v>
      </c>
      <c r="C37" s="179" t="s">
        <v>71</v>
      </c>
      <c r="D37" s="180" t="s">
        <v>565</v>
      </c>
      <c r="E37" s="181">
        <v>2645</v>
      </c>
      <c r="F37" s="181">
        <v>0</v>
      </c>
      <c r="G37" s="181">
        <v>0</v>
      </c>
      <c r="H37" s="181"/>
      <c r="I37" s="181">
        <v>0</v>
      </c>
      <c r="J37" s="181">
        <v>0</v>
      </c>
      <c r="K37" s="181">
        <v>0</v>
      </c>
      <c r="L37" s="181"/>
      <c r="M37" s="181"/>
      <c r="N37" s="181">
        <v>2645</v>
      </c>
      <c r="O37" s="180"/>
      <c r="P37" s="180"/>
      <c r="Q37" s="180"/>
      <c r="R37" s="180"/>
      <c r="S37" s="180"/>
      <c r="T37" s="180"/>
      <c r="U37" s="180"/>
      <c r="V37" s="181">
        <v>2645</v>
      </c>
      <c r="W37" s="181">
        <v>0</v>
      </c>
      <c r="X37" s="181">
        <f t="shared" si="0"/>
        <v>2645</v>
      </c>
    </row>
    <row r="38" spans="1:24" x14ac:dyDescent="0.2">
      <c r="A38" s="177">
        <v>30</v>
      </c>
      <c r="B38" s="183" t="s">
        <v>132</v>
      </c>
      <c r="C38" s="179" t="s">
        <v>133</v>
      </c>
      <c r="D38" s="180" t="s">
        <v>565</v>
      </c>
      <c r="E38" s="181">
        <v>3021</v>
      </c>
      <c r="F38" s="181">
        <v>0</v>
      </c>
      <c r="G38" s="181">
        <v>0</v>
      </c>
      <c r="H38" s="181"/>
      <c r="I38" s="181">
        <v>0</v>
      </c>
      <c r="J38" s="181">
        <v>0</v>
      </c>
      <c r="K38" s="181">
        <v>0</v>
      </c>
      <c r="L38" s="181"/>
      <c r="M38" s="181"/>
      <c r="N38" s="181">
        <v>3021</v>
      </c>
      <c r="O38" s="180"/>
      <c r="P38" s="180"/>
      <c r="Q38" s="180"/>
      <c r="R38" s="180"/>
      <c r="S38" s="180"/>
      <c r="T38" s="180"/>
      <c r="U38" s="180"/>
      <c r="V38" s="181">
        <v>3021</v>
      </c>
      <c r="W38" s="181">
        <v>0</v>
      </c>
      <c r="X38" s="181">
        <f t="shared" si="0"/>
        <v>3021</v>
      </c>
    </row>
    <row r="39" spans="1:24" x14ac:dyDescent="0.2">
      <c r="A39" s="177">
        <v>31</v>
      </c>
      <c r="B39" s="186" t="s">
        <v>108</v>
      </c>
      <c r="C39" s="179" t="s">
        <v>109</v>
      </c>
      <c r="D39" s="180" t="s">
        <v>565</v>
      </c>
      <c r="E39" s="181">
        <v>3256</v>
      </c>
      <c r="F39" s="181">
        <v>0</v>
      </c>
      <c r="G39" s="181">
        <v>0</v>
      </c>
      <c r="H39" s="181"/>
      <c r="I39" s="181">
        <v>0</v>
      </c>
      <c r="J39" s="181">
        <v>0</v>
      </c>
      <c r="K39" s="181">
        <v>0</v>
      </c>
      <c r="L39" s="181"/>
      <c r="M39" s="181"/>
      <c r="N39" s="181">
        <v>3256</v>
      </c>
      <c r="O39" s="180"/>
      <c r="P39" s="180"/>
      <c r="Q39" s="180"/>
      <c r="R39" s="180"/>
      <c r="S39" s="180"/>
      <c r="T39" s="180"/>
      <c r="U39" s="180"/>
      <c r="V39" s="181">
        <v>3256</v>
      </c>
      <c r="W39" s="181">
        <v>0</v>
      </c>
      <c r="X39" s="181">
        <f t="shared" si="0"/>
        <v>3256</v>
      </c>
    </row>
    <row r="40" spans="1:24" x14ac:dyDescent="0.2">
      <c r="A40" s="177">
        <v>32</v>
      </c>
      <c r="B40" s="178" t="s">
        <v>228</v>
      </c>
      <c r="C40" s="179" t="s">
        <v>229</v>
      </c>
      <c r="D40" s="180" t="s">
        <v>565</v>
      </c>
      <c r="E40" s="181">
        <v>1959</v>
      </c>
      <c r="F40" s="181">
        <v>0</v>
      </c>
      <c r="G40" s="181">
        <v>0</v>
      </c>
      <c r="H40" s="181"/>
      <c r="I40" s="181">
        <v>0</v>
      </c>
      <c r="J40" s="181">
        <v>0</v>
      </c>
      <c r="K40" s="181">
        <v>0</v>
      </c>
      <c r="L40" s="181"/>
      <c r="M40" s="181"/>
      <c r="N40" s="181">
        <v>1959</v>
      </c>
      <c r="O40" s="180"/>
      <c r="P40" s="180"/>
      <c r="Q40" s="180"/>
      <c r="R40" s="180"/>
      <c r="S40" s="180"/>
      <c r="T40" s="180"/>
      <c r="U40" s="180"/>
      <c r="V40" s="181">
        <v>1959</v>
      </c>
      <c r="W40" s="181">
        <v>0</v>
      </c>
      <c r="X40" s="181">
        <f t="shared" si="0"/>
        <v>1959</v>
      </c>
    </row>
    <row r="41" spans="1:24" x14ac:dyDescent="0.2">
      <c r="A41" s="177">
        <v>33</v>
      </c>
      <c r="B41" s="178" t="s">
        <v>134</v>
      </c>
      <c r="C41" s="179" t="s">
        <v>135</v>
      </c>
      <c r="D41" s="180" t="s">
        <v>565</v>
      </c>
      <c r="E41" s="181">
        <v>4278</v>
      </c>
      <c r="F41" s="181">
        <v>0</v>
      </c>
      <c r="G41" s="181">
        <v>0</v>
      </c>
      <c r="H41" s="181"/>
      <c r="I41" s="181">
        <v>0</v>
      </c>
      <c r="J41" s="181">
        <v>0</v>
      </c>
      <c r="K41" s="181">
        <v>0</v>
      </c>
      <c r="L41" s="181"/>
      <c r="M41" s="181"/>
      <c r="N41" s="181">
        <v>4278</v>
      </c>
      <c r="O41" s="180"/>
      <c r="P41" s="180"/>
      <c r="Q41" s="180"/>
      <c r="R41" s="180"/>
      <c r="S41" s="180"/>
      <c r="T41" s="180"/>
      <c r="U41" s="180"/>
      <c r="V41" s="181">
        <v>4278</v>
      </c>
      <c r="W41" s="181">
        <v>0</v>
      </c>
      <c r="X41" s="181">
        <f t="shared" si="0"/>
        <v>4278</v>
      </c>
    </row>
    <row r="42" spans="1:24" x14ac:dyDescent="0.2">
      <c r="A42" s="177">
        <v>34</v>
      </c>
      <c r="B42" s="184" t="s">
        <v>110</v>
      </c>
      <c r="C42" s="179" t="s">
        <v>111</v>
      </c>
      <c r="D42" s="180" t="s">
        <v>565</v>
      </c>
      <c r="E42" s="181">
        <v>1990</v>
      </c>
      <c r="F42" s="181">
        <v>0</v>
      </c>
      <c r="G42" s="181">
        <v>0</v>
      </c>
      <c r="H42" s="181"/>
      <c r="I42" s="181">
        <v>0</v>
      </c>
      <c r="J42" s="181">
        <v>4</v>
      </c>
      <c r="K42" s="181">
        <v>0</v>
      </c>
      <c r="L42" s="181"/>
      <c r="M42" s="181"/>
      <c r="N42" s="181">
        <v>1986</v>
      </c>
      <c r="O42" s="180"/>
      <c r="P42" s="180"/>
      <c r="Q42" s="180"/>
      <c r="R42" s="180"/>
      <c r="S42" s="180"/>
      <c r="T42" s="180"/>
      <c r="U42" s="180"/>
      <c r="V42" s="181">
        <v>1990</v>
      </c>
      <c r="W42" s="181">
        <v>0</v>
      </c>
      <c r="X42" s="181">
        <f t="shared" si="0"/>
        <v>1990</v>
      </c>
    </row>
    <row r="43" spans="1:24" x14ac:dyDescent="0.2">
      <c r="A43" s="177">
        <v>35</v>
      </c>
      <c r="B43" s="184" t="s">
        <v>112</v>
      </c>
      <c r="C43" s="179" t="s">
        <v>113</v>
      </c>
      <c r="D43" s="180" t="s">
        <v>565</v>
      </c>
      <c r="E43" s="181">
        <v>2862</v>
      </c>
      <c r="F43" s="181">
        <v>0</v>
      </c>
      <c r="G43" s="181">
        <v>0</v>
      </c>
      <c r="H43" s="181"/>
      <c r="I43" s="181">
        <v>0</v>
      </c>
      <c r="J43" s="181">
        <v>1</v>
      </c>
      <c r="K43" s="181">
        <v>0</v>
      </c>
      <c r="L43" s="181"/>
      <c r="M43" s="181"/>
      <c r="N43" s="181">
        <v>2861</v>
      </c>
      <c r="O43" s="180"/>
      <c r="P43" s="180"/>
      <c r="Q43" s="180"/>
      <c r="R43" s="180"/>
      <c r="S43" s="180"/>
      <c r="T43" s="180"/>
      <c r="U43" s="180"/>
      <c r="V43" s="181">
        <v>2862</v>
      </c>
      <c r="W43" s="181">
        <v>0</v>
      </c>
      <c r="X43" s="181">
        <f t="shared" si="0"/>
        <v>2862</v>
      </c>
    </row>
    <row r="44" spans="1:24" x14ac:dyDescent="0.2">
      <c r="A44" s="177">
        <v>36</v>
      </c>
      <c r="B44" s="178" t="s">
        <v>114</v>
      </c>
      <c r="C44" s="179" t="s">
        <v>115</v>
      </c>
      <c r="D44" s="180" t="s">
        <v>565</v>
      </c>
      <c r="E44" s="181">
        <v>1569</v>
      </c>
      <c r="F44" s="181">
        <v>0</v>
      </c>
      <c r="G44" s="181">
        <v>0</v>
      </c>
      <c r="H44" s="181"/>
      <c r="I44" s="181">
        <v>0</v>
      </c>
      <c r="J44" s="181">
        <v>0</v>
      </c>
      <c r="K44" s="181">
        <v>0</v>
      </c>
      <c r="L44" s="181"/>
      <c r="M44" s="181"/>
      <c r="N44" s="181">
        <v>1569</v>
      </c>
      <c r="O44" s="180"/>
      <c r="P44" s="180"/>
      <c r="Q44" s="180"/>
      <c r="R44" s="180"/>
      <c r="S44" s="180"/>
      <c r="T44" s="180"/>
      <c r="U44" s="180"/>
      <c r="V44" s="181">
        <v>1569</v>
      </c>
      <c r="W44" s="181">
        <v>0</v>
      </c>
      <c r="X44" s="181">
        <f t="shared" si="0"/>
        <v>1569</v>
      </c>
    </row>
    <row r="45" spans="1:24" x14ac:dyDescent="0.2">
      <c r="A45" s="177">
        <v>37</v>
      </c>
      <c r="B45" s="178" t="s">
        <v>138</v>
      </c>
      <c r="C45" s="179" t="s">
        <v>139</v>
      </c>
      <c r="D45" s="180" t="s">
        <v>565</v>
      </c>
      <c r="E45" s="181">
        <v>2788</v>
      </c>
      <c r="F45" s="181">
        <v>0</v>
      </c>
      <c r="G45" s="181">
        <v>0</v>
      </c>
      <c r="H45" s="181"/>
      <c r="I45" s="181">
        <v>0</v>
      </c>
      <c r="J45" s="181">
        <v>7</v>
      </c>
      <c r="K45" s="181">
        <v>0</v>
      </c>
      <c r="L45" s="181"/>
      <c r="M45" s="181"/>
      <c r="N45" s="181">
        <v>2781</v>
      </c>
      <c r="O45" s="180"/>
      <c r="P45" s="180"/>
      <c r="Q45" s="180"/>
      <c r="R45" s="180"/>
      <c r="S45" s="180"/>
      <c r="T45" s="180"/>
      <c r="U45" s="180"/>
      <c r="V45" s="181">
        <v>2788</v>
      </c>
      <c r="W45" s="181">
        <v>0</v>
      </c>
      <c r="X45" s="181">
        <f t="shared" si="0"/>
        <v>2788</v>
      </c>
    </row>
    <row r="46" spans="1:24" x14ac:dyDescent="0.2">
      <c r="A46" s="177">
        <v>38</v>
      </c>
      <c r="B46" s="184" t="s">
        <v>230</v>
      </c>
      <c r="C46" s="179" t="s">
        <v>231</v>
      </c>
      <c r="D46" s="180" t="s">
        <v>565</v>
      </c>
      <c r="E46" s="181">
        <v>4145</v>
      </c>
      <c r="F46" s="181">
        <v>0</v>
      </c>
      <c r="G46" s="181">
        <v>0</v>
      </c>
      <c r="H46" s="181"/>
      <c r="I46" s="181">
        <v>0</v>
      </c>
      <c r="J46" s="181">
        <v>0</v>
      </c>
      <c r="K46" s="181">
        <v>0</v>
      </c>
      <c r="L46" s="181"/>
      <c r="M46" s="181"/>
      <c r="N46" s="181">
        <v>4145</v>
      </c>
      <c r="O46" s="180"/>
      <c r="P46" s="180"/>
      <c r="Q46" s="180"/>
      <c r="R46" s="180"/>
      <c r="S46" s="180"/>
      <c r="T46" s="180"/>
      <c r="U46" s="180"/>
      <c r="V46" s="181">
        <v>4145</v>
      </c>
      <c r="W46" s="181">
        <v>0</v>
      </c>
      <c r="X46" s="181">
        <f t="shared" si="0"/>
        <v>4145</v>
      </c>
    </row>
    <row r="47" spans="1:24" x14ac:dyDescent="0.2">
      <c r="A47" s="177">
        <v>39</v>
      </c>
      <c r="B47" s="178" t="s">
        <v>140</v>
      </c>
      <c r="C47" s="179" t="s">
        <v>141</v>
      </c>
      <c r="D47" s="180" t="s">
        <v>565</v>
      </c>
      <c r="E47" s="181">
        <v>2533</v>
      </c>
      <c r="F47" s="181">
        <v>0</v>
      </c>
      <c r="G47" s="181">
        <v>0</v>
      </c>
      <c r="H47" s="181"/>
      <c r="I47" s="181">
        <v>0</v>
      </c>
      <c r="J47" s="181">
        <v>1</v>
      </c>
      <c r="K47" s="181">
        <v>0</v>
      </c>
      <c r="L47" s="181"/>
      <c r="M47" s="181"/>
      <c r="N47" s="181">
        <v>2532</v>
      </c>
      <c r="O47" s="180"/>
      <c r="P47" s="180"/>
      <c r="Q47" s="180"/>
      <c r="R47" s="180"/>
      <c r="S47" s="180"/>
      <c r="T47" s="180"/>
      <c r="U47" s="180"/>
      <c r="V47" s="181">
        <v>2533</v>
      </c>
      <c r="W47" s="181">
        <v>0</v>
      </c>
      <c r="X47" s="181">
        <f t="shared" si="0"/>
        <v>2533</v>
      </c>
    </row>
    <row r="48" spans="1:24" x14ac:dyDescent="0.2">
      <c r="A48" s="177">
        <v>40</v>
      </c>
      <c r="B48" s="183" t="s">
        <v>142</v>
      </c>
      <c r="C48" s="179" t="s">
        <v>143</v>
      </c>
      <c r="D48" s="180" t="s">
        <v>565</v>
      </c>
      <c r="E48" s="181">
        <v>2087</v>
      </c>
      <c r="F48" s="181">
        <v>0</v>
      </c>
      <c r="G48" s="181">
        <v>0</v>
      </c>
      <c r="H48" s="181"/>
      <c r="I48" s="181">
        <v>0</v>
      </c>
      <c r="J48" s="181">
        <v>16</v>
      </c>
      <c r="K48" s="181">
        <v>0</v>
      </c>
      <c r="L48" s="181"/>
      <c r="M48" s="181"/>
      <c r="N48" s="181">
        <v>2071</v>
      </c>
      <c r="O48" s="180"/>
      <c r="P48" s="180"/>
      <c r="Q48" s="180"/>
      <c r="R48" s="180"/>
      <c r="S48" s="180"/>
      <c r="T48" s="180"/>
      <c r="U48" s="180"/>
      <c r="V48" s="181">
        <v>2087</v>
      </c>
      <c r="W48" s="181">
        <v>0</v>
      </c>
      <c r="X48" s="181">
        <f t="shared" si="0"/>
        <v>2087</v>
      </c>
    </row>
    <row r="49" spans="1:24" x14ac:dyDescent="0.2">
      <c r="A49" s="177">
        <v>41</v>
      </c>
      <c r="B49" s="178" t="s">
        <v>72</v>
      </c>
      <c r="C49" s="179" t="s">
        <v>73</v>
      </c>
      <c r="D49" s="180" t="s">
        <v>565</v>
      </c>
      <c r="E49" s="181">
        <v>5019</v>
      </c>
      <c r="F49" s="181">
        <v>0</v>
      </c>
      <c r="G49" s="181">
        <v>0</v>
      </c>
      <c r="H49" s="181"/>
      <c r="I49" s="181">
        <v>0</v>
      </c>
      <c r="J49" s="181">
        <v>5</v>
      </c>
      <c r="K49" s="181">
        <v>0</v>
      </c>
      <c r="L49" s="181"/>
      <c r="M49" s="181"/>
      <c r="N49" s="181">
        <v>5014</v>
      </c>
      <c r="O49" s="180"/>
      <c r="P49" s="180"/>
      <c r="Q49" s="180"/>
      <c r="R49" s="180"/>
      <c r="S49" s="180"/>
      <c r="T49" s="180"/>
      <c r="U49" s="180"/>
      <c r="V49" s="181">
        <v>5019</v>
      </c>
      <c r="W49" s="181">
        <v>0</v>
      </c>
      <c r="X49" s="181">
        <f t="shared" si="0"/>
        <v>5019</v>
      </c>
    </row>
    <row r="50" spans="1:24" x14ac:dyDescent="0.2">
      <c r="A50" s="177">
        <v>42</v>
      </c>
      <c r="B50" s="184" t="s">
        <v>188</v>
      </c>
      <c r="C50" s="179" t="s">
        <v>459</v>
      </c>
      <c r="D50" s="180" t="s">
        <v>565</v>
      </c>
      <c r="E50" s="181">
        <v>1011</v>
      </c>
      <c r="F50" s="181">
        <v>0</v>
      </c>
      <c r="G50" s="181">
        <v>0</v>
      </c>
      <c r="H50" s="181"/>
      <c r="I50" s="181">
        <v>0</v>
      </c>
      <c r="J50" s="181">
        <v>0</v>
      </c>
      <c r="K50" s="181">
        <v>0</v>
      </c>
      <c r="L50" s="181"/>
      <c r="M50" s="181"/>
      <c r="N50" s="181">
        <v>1011</v>
      </c>
      <c r="O50" s="180"/>
      <c r="P50" s="180"/>
      <c r="Q50" s="180"/>
      <c r="R50" s="180"/>
      <c r="S50" s="180"/>
      <c r="T50" s="180"/>
      <c r="U50" s="180"/>
      <c r="V50" s="181">
        <v>1011</v>
      </c>
      <c r="W50" s="181">
        <v>0</v>
      </c>
      <c r="X50" s="181">
        <f t="shared" si="0"/>
        <v>1011</v>
      </c>
    </row>
    <row r="51" spans="1:24" x14ac:dyDescent="0.2">
      <c r="A51" s="177">
        <v>43</v>
      </c>
      <c r="B51" s="184" t="s">
        <v>120</v>
      </c>
      <c r="C51" s="179" t="s">
        <v>121</v>
      </c>
      <c r="D51" s="180" t="s">
        <v>567</v>
      </c>
      <c r="E51" s="181">
        <v>13189</v>
      </c>
      <c r="F51" s="181">
        <v>2</v>
      </c>
      <c r="G51" s="181">
        <v>0</v>
      </c>
      <c r="H51" s="181">
        <v>2</v>
      </c>
      <c r="I51" s="181">
        <v>0</v>
      </c>
      <c r="J51" s="181">
        <v>0</v>
      </c>
      <c r="K51" s="181">
        <v>0</v>
      </c>
      <c r="L51" s="181"/>
      <c r="M51" s="181"/>
      <c r="N51" s="181">
        <v>13187</v>
      </c>
      <c r="O51" s="180"/>
      <c r="P51" s="180"/>
      <c r="Q51" s="180"/>
      <c r="R51" s="180"/>
      <c r="S51" s="180"/>
      <c r="T51" s="180"/>
      <c r="U51" s="180"/>
      <c r="V51" s="181">
        <v>13189</v>
      </c>
      <c r="W51" s="181">
        <v>0</v>
      </c>
      <c r="X51" s="181">
        <f t="shared" si="0"/>
        <v>13189</v>
      </c>
    </row>
    <row r="52" spans="1:24" x14ac:dyDescent="0.2">
      <c r="A52" s="600">
        <v>44</v>
      </c>
      <c r="B52" s="178" t="s">
        <v>16</v>
      </c>
      <c r="C52" s="179" t="s">
        <v>17</v>
      </c>
      <c r="D52" s="180" t="s">
        <v>567</v>
      </c>
      <c r="E52" s="181">
        <v>8760</v>
      </c>
      <c r="F52" s="181">
        <v>0</v>
      </c>
      <c r="G52" s="181">
        <v>0</v>
      </c>
      <c r="H52" s="181"/>
      <c r="I52" s="181">
        <v>0</v>
      </c>
      <c r="J52" s="181">
        <v>0</v>
      </c>
      <c r="K52" s="181">
        <v>0</v>
      </c>
      <c r="L52" s="181"/>
      <c r="M52" s="181"/>
      <c r="N52" s="181">
        <v>8760</v>
      </c>
      <c r="O52" s="180"/>
      <c r="P52" s="180"/>
      <c r="Q52" s="180"/>
      <c r="R52" s="180"/>
      <c r="S52" s="180"/>
      <c r="T52" s="180"/>
      <c r="U52" s="180"/>
      <c r="V52" s="181">
        <v>8760</v>
      </c>
      <c r="W52" s="181">
        <v>0</v>
      </c>
      <c r="X52" s="181">
        <f t="shared" si="0"/>
        <v>8760</v>
      </c>
    </row>
    <row r="53" spans="1:24" x14ac:dyDescent="0.2">
      <c r="A53" s="600">
        <v>45</v>
      </c>
      <c r="B53" s="178" t="s">
        <v>182</v>
      </c>
      <c r="C53" s="179" t="s">
        <v>568</v>
      </c>
      <c r="D53" s="180" t="s">
        <v>567</v>
      </c>
      <c r="E53" s="181">
        <v>10332</v>
      </c>
      <c r="F53" s="181">
        <v>1</v>
      </c>
      <c r="G53" s="181">
        <v>0</v>
      </c>
      <c r="H53" s="181">
        <v>1</v>
      </c>
      <c r="I53" s="181">
        <v>0</v>
      </c>
      <c r="J53" s="181">
        <v>0</v>
      </c>
      <c r="K53" s="181">
        <v>0</v>
      </c>
      <c r="L53" s="181"/>
      <c r="M53" s="181"/>
      <c r="N53" s="181">
        <v>10331</v>
      </c>
      <c r="O53" s="180"/>
      <c r="P53" s="180"/>
      <c r="Q53" s="180"/>
      <c r="R53" s="180"/>
      <c r="S53" s="180"/>
      <c r="T53" s="180"/>
      <c r="U53" s="180"/>
      <c r="V53" s="181">
        <v>10332</v>
      </c>
      <c r="W53" s="181">
        <v>405</v>
      </c>
      <c r="X53" s="181">
        <f t="shared" si="0"/>
        <v>10737</v>
      </c>
    </row>
    <row r="54" spans="1:24" x14ac:dyDescent="0.2">
      <c r="A54" s="600">
        <v>46</v>
      </c>
      <c r="B54" s="184" t="s">
        <v>62</v>
      </c>
      <c r="C54" s="179" t="s">
        <v>63</v>
      </c>
      <c r="D54" s="180" t="s">
        <v>567</v>
      </c>
      <c r="E54" s="181">
        <v>8003</v>
      </c>
      <c r="F54" s="181">
        <v>0</v>
      </c>
      <c r="G54" s="181">
        <v>0</v>
      </c>
      <c r="H54" s="181"/>
      <c r="I54" s="181">
        <v>0</v>
      </c>
      <c r="J54" s="181">
        <v>29</v>
      </c>
      <c r="K54" s="181">
        <v>0</v>
      </c>
      <c r="L54" s="181"/>
      <c r="M54" s="181"/>
      <c r="N54" s="181">
        <v>7974</v>
      </c>
      <c r="O54" s="180"/>
      <c r="P54" s="180"/>
      <c r="Q54" s="180"/>
      <c r="R54" s="180"/>
      <c r="S54" s="180"/>
      <c r="T54" s="180"/>
      <c r="U54" s="180"/>
      <c r="V54" s="181">
        <v>8003</v>
      </c>
      <c r="W54" s="181">
        <v>0</v>
      </c>
      <c r="X54" s="181">
        <f t="shared" si="0"/>
        <v>8003</v>
      </c>
    </row>
    <row r="55" spans="1:24" x14ac:dyDescent="0.2">
      <c r="A55" s="600">
        <v>47</v>
      </c>
      <c r="B55" s="184" t="s">
        <v>106</v>
      </c>
      <c r="C55" s="179" t="s">
        <v>107</v>
      </c>
      <c r="D55" s="180" t="s">
        <v>567</v>
      </c>
      <c r="E55" s="181">
        <v>9618</v>
      </c>
      <c r="F55" s="181">
        <v>0</v>
      </c>
      <c r="G55" s="181">
        <v>0</v>
      </c>
      <c r="H55" s="181"/>
      <c r="I55" s="181">
        <v>0</v>
      </c>
      <c r="J55" s="181">
        <v>0</v>
      </c>
      <c r="K55" s="181">
        <v>0</v>
      </c>
      <c r="L55" s="181"/>
      <c r="M55" s="181"/>
      <c r="N55" s="181">
        <v>9618</v>
      </c>
      <c r="O55" s="180"/>
      <c r="P55" s="180"/>
      <c r="Q55" s="180"/>
      <c r="R55" s="180"/>
      <c r="S55" s="180"/>
      <c r="T55" s="180"/>
      <c r="U55" s="180"/>
      <c r="V55" s="181">
        <v>9618</v>
      </c>
      <c r="W55" s="181">
        <v>0</v>
      </c>
      <c r="X55" s="181">
        <f t="shared" si="0"/>
        <v>9618</v>
      </c>
    </row>
    <row r="56" spans="1:24" x14ac:dyDescent="0.2">
      <c r="A56" s="600">
        <v>48</v>
      </c>
      <c r="B56" s="178" t="s">
        <v>136</v>
      </c>
      <c r="C56" s="179" t="s">
        <v>137</v>
      </c>
      <c r="D56" s="180" t="s">
        <v>567</v>
      </c>
      <c r="E56" s="181">
        <v>19002</v>
      </c>
      <c r="F56" s="181">
        <v>7</v>
      </c>
      <c r="G56" s="181">
        <v>0</v>
      </c>
      <c r="H56" s="181">
        <v>7</v>
      </c>
      <c r="I56" s="181">
        <v>1056</v>
      </c>
      <c r="J56" s="181">
        <v>7</v>
      </c>
      <c r="K56" s="181">
        <v>0</v>
      </c>
      <c r="L56" s="181"/>
      <c r="M56" s="181"/>
      <c r="N56" s="181">
        <v>17932</v>
      </c>
      <c r="O56" s="180"/>
      <c r="P56" s="180"/>
      <c r="Q56" s="180"/>
      <c r="R56" s="180"/>
      <c r="S56" s="180"/>
      <c r="T56" s="180"/>
      <c r="U56" s="180"/>
      <c r="V56" s="181">
        <v>19002</v>
      </c>
      <c r="W56" s="181">
        <v>0</v>
      </c>
      <c r="X56" s="181">
        <f t="shared" si="0"/>
        <v>19002</v>
      </c>
    </row>
    <row r="57" spans="1:24" x14ac:dyDescent="0.2">
      <c r="A57" s="600">
        <v>49</v>
      </c>
      <c r="B57" s="184" t="s">
        <v>86</v>
      </c>
      <c r="C57" s="187" t="s">
        <v>87</v>
      </c>
      <c r="D57" s="180" t="s">
        <v>567</v>
      </c>
      <c r="E57" s="181">
        <v>9067</v>
      </c>
      <c r="F57" s="181">
        <v>1</v>
      </c>
      <c r="G57" s="181">
        <v>0</v>
      </c>
      <c r="H57" s="181">
        <v>1</v>
      </c>
      <c r="I57" s="181">
        <v>0</v>
      </c>
      <c r="J57" s="181">
        <v>0</v>
      </c>
      <c r="K57" s="181">
        <v>0</v>
      </c>
      <c r="L57" s="181"/>
      <c r="M57" s="181"/>
      <c r="N57" s="181">
        <v>9066</v>
      </c>
      <c r="O57" s="180"/>
      <c r="P57" s="180"/>
      <c r="Q57" s="180"/>
      <c r="R57" s="180"/>
      <c r="S57" s="180"/>
      <c r="T57" s="180"/>
      <c r="U57" s="180"/>
      <c r="V57" s="181">
        <v>9067</v>
      </c>
      <c r="W57" s="181">
        <v>416</v>
      </c>
      <c r="X57" s="181">
        <f t="shared" si="0"/>
        <v>9483</v>
      </c>
    </row>
    <row r="58" spans="1:24" x14ac:dyDescent="0.2">
      <c r="A58" s="600">
        <v>50</v>
      </c>
      <c r="B58" s="178" t="s">
        <v>208</v>
      </c>
      <c r="C58" s="179" t="s">
        <v>569</v>
      </c>
      <c r="D58" s="180" t="s">
        <v>567</v>
      </c>
      <c r="E58" s="181">
        <v>6385</v>
      </c>
      <c r="F58" s="181">
        <v>0</v>
      </c>
      <c r="G58" s="181">
        <v>0</v>
      </c>
      <c r="H58" s="181"/>
      <c r="I58" s="181">
        <v>0</v>
      </c>
      <c r="J58" s="181">
        <v>0</v>
      </c>
      <c r="K58" s="181">
        <v>0</v>
      </c>
      <c r="L58" s="181"/>
      <c r="M58" s="181"/>
      <c r="N58" s="181">
        <v>6385</v>
      </c>
      <c r="O58" s="180"/>
      <c r="P58" s="180"/>
      <c r="Q58" s="180"/>
      <c r="R58" s="180"/>
      <c r="S58" s="180"/>
      <c r="T58" s="180"/>
      <c r="U58" s="180"/>
      <c r="V58" s="181">
        <v>6385</v>
      </c>
      <c r="W58" s="181">
        <v>845</v>
      </c>
      <c r="X58" s="181">
        <f t="shared" si="0"/>
        <v>7230</v>
      </c>
    </row>
    <row r="59" spans="1:24" x14ac:dyDescent="0.2">
      <c r="A59" s="600">
        <v>51</v>
      </c>
      <c r="B59" s="178" t="s">
        <v>298</v>
      </c>
      <c r="C59" s="179" t="s">
        <v>299</v>
      </c>
      <c r="D59" s="180" t="s">
        <v>567</v>
      </c>
      <c r="E59" s="181">
        <v>0</v>
      </c>
      <c r="F59" s="181">
        <v>0</v>
      </c>
      <c r="G59" s="181">
        <v>0</v>
      </c>
      <c r="H59" s="181"/>
      <c r="I59" s="181">
        <v>0</v>
      </c>
      <c r="J59" s="181">
        <v>0</v>
      </c>
      <c r="K59" s="181">
        <v>0</v>
      </c>
      <c r="L59" s="181"/>
      <c r="M59" s="181"/>
      <c r="N59" s="181">
        <v>0</v>
      </c>
      <c r="O59" s="180"/>
      <c r="P59" s="180"/>
      <c r="Q59" s="180"/>
      <c r="R59" s="180"/>
      <c r="S59" s="180"/>
      <c r="T59" s="180"/>
      <c r="U59" s="180"/>
      <c r="V59" s="181">
        <v>0</v>
      </c>
      <c r="W59" s="181">
        <v>500</v>
      </c>
      <c r="X59" s="181">
        <f t="shared" si="0"/>
        <v>500</v>
      </c>
    </row>
    <row r="60" spans="1:24" x14ac:dyDescent="0.2">
      <c r="A60" s="600">
        <v>52</v>
      </c>
      <c r="B60" s="178" t="s">
        <v>254</v>
      </c>
      <c r="C60" s="179" t="s">
        <v>255</v>
      </c>
      <c r="D60" s="180" t="s">
        <v>567</v>
      </c>
      <c r="E60" s="181">
        <v>314</v>
      </c>
      <c r="F60" s="181">
        <v>0</v>
      </c>
      <c r="G60" s="181">
        <v>0</v>
      </c>
      <c r="H60" s="181"/>
      <c r="I60" s="181">
        <v>0</v>
      </c>
      <c r="J60" s="181">
        <v>0</v>
      </c>
      <c r="K60" s="181">
        <v>0</v>
      </c>
      <c r="L60" s="181"/>
      <c r="M60" s="181"/>
      <c r="N60" s="181">
        <v>314</v>
      </c>
      <c r="O60" s="180"/>
      <c r="P60" s="180"/>
      <c r="Q60" s="180"/>
      <c r="R60" s="180"/>
      <c r="S60" s="180"/>
      <c r="T60" s="180"/>
      <c r="U60" s="180"/>
      <c r="V60" s="181">
        <v>314</v>
      </c>
      <c r="W60" s="181">
        <v>0</v>
      </c>
      <c r="X60" s="181">
        <f t="shared" si="0"/>
        <v>314</v>
      </c>
    </row>
    <row r="61" spans="1:24" x14ac:dyDescent="0.2">
      <c r="A61" s="600">
        <v>53</v>
      </c>
      <c r="B61" s="178" t="s">
        <v>184</v>
      </c>
      <c r="C61" s="179" t="s">
        <v>570</v>
      </c>
      <c r="D61" s="180" t="s">
        <v>571</v>
      </c>
      <c r="E61" s="181">
        <v>3253</v>
      </c>
      <c r="F61" s="181">
        <v>0</v>
      </c>
      <c r="G61" s="181">
        <v>0</v>
      </c>
      <c r="H61" s="181"/>
      <c r="I61" s="181">
        <v>0</v>
      </c>
      <c r="J61" s="181">
        <v>30</v>
      </c>
      <c r="K61" s="181">
        <v>0</v>
      </c>
      <c r="L61" s="181"/>
      <c r="M61" s="181"/>
      <c r="N61" s="181">
        <v>3223</v>
      </c>
      <c r="O61" s="181"/>
      <c r="P61" s="181"/>
      <c r="Q61" s="181"/>
      <c r="R61" s="181"/>
      <c r="S61" s="181"/>
      <c r="T61" s="181"/>
      <c r="U61" s="181"/>
      <c r="V61" s="181">
        <v>3253</v>
      </c>
      <c r="W61" s="181">
        <v>987</v>
      </c>
      <c r="X61" s="181">
        <f t="shared" si="0"/>
        <v>4240</v>
      </c>
    </row>
    <row r="62" spans="1:24" x14ac:dyDescent="0.2">
      <c r="A62" s="600">
        <v>54</v>
      </c>
      <c r="B62" s="178" t="s">
        <v>286</v>
      </c>
      <c r="C62" s="179" t="s">
        <v>287</v>
      </c>
      <c r="D62" s="180" t="s">
        <v>571</v>
      </c>
      <c r="E62" s="181">
        <v>23976</v>
      </c>
      <c r="F62" s="181">
        <v>0</v>
      </c>
      <c r="G62" s="181">
        <v>0</v>
      </c>
      <c r="H62" s="181"/>
      <c r="I62" s="181">
        <v>1205</v>
      </c>
      <c r="J62" s="181">
        <v>0</v>
      </c>
      <c r="K62" s="181">
        <v>0</v>
      </c>
      <c r="L62" s="181"/>
      <c r="M62" s="181"/>
      <c r="N62" s="181">
        <v>22771</v>
      </c>
      <c r="O62" s="181"/>
      <c r="P62" s="181"/>
      <c r="Q62" s="181"/>
      <c r="R62" s="181"/>
      <c r="S62" s="181"/>
      <c r="T62" s="181"/>
      <c r="U62" s="181"/>
      <c r="V62" s="181">
        <v>23976</v>
      </c>
      <c r="W62" s="181">
        <v>0</v>
      </c>
      <c r="X62" s="181">
        <f t="shared" si="0"/>
        <v>23976</v>
      </c>
    </row>
    <row r="63" spans="1:24" s="193" customFormat="1" ht="26.25" customHeight="1" x14ac:dyDescent="0.2">
      <c r="A63" s="188">
        <v>55</v>
      </c>
      <c r="B63" s="189" t="s">
        <v>144</v>
      </c>
      <c r="C63" s="190" t="s">
        <v>572</v>
      </c>
      <c r="D63" s="191" t="s">
        <v>573</v>
      </c>
      <c r="E63" s="192">
        <v>5350</v>
      </c>
      <c r="F63" s="192">
        <v>0</v>
      </c>
      <c r="G63" s="192">
        <v>0</v>
      </c>
      <c r="H63" s="192">
        <v>0</v>
      </c>
      <c r="I63" s="192">
        <v>0</v>
      </c>
      <c r="J63" s="192">
        <v>0</v>
      </c>
      <c r="K63" s="192">
        <v>709</v>
      </c>
      <c r="L63" s="192">
        <v>13</v>
      </c>
      <c r="M63" s="192">
        <v>0</v>
      </c>
      <c r="N63" s="192">
        <v>4628</v>
      </c>
      <c r="O63" s="192">
        <v>114</v>
      </c>
      <c r="P63" s="192">
        <v>0</v>
      </c>
      <c r="Q63" s="192">
        <v>53</v>
      </c>
      <c r="R63" s="192">
        <v>46</v>
      </c>
      <c r="S63" s="192">
        <v>0</v>
      </c>
      <c r="T63" s="192">
        <v>0</v>
      </c>
      <c r="U63" s="192">
        <v>0</v>
      </c>
      <c r="V63" s="192">
        <v>5464</v>
      </c>
      <c r="W63" s="192">
        <v>0</v>
      </c>
      <c r="X63" s="192">
        <f t="shared" ref="X63" si="1">X64+X65</f>
        <v>5464</v>
      </c>
    </row>
    <row r="64" spans="1:24" x14ac:dyDescent="0.2">
      <c r="A64" s="177"/>
      <c r="B64" s="178"/>
      <c r="C64" s="194" t="s">
        <v>574</v>
      </c>
      <c r="D64" s="180" t="s">
        <v>566</v>
      </c>
      <c r="E64" s="181">
        <v>0</v>
      </c>
      <c r="F64" s="181">
        <v>0</v>
      </c>
      <c r="G64" s="181">
        <v>0</v>
      </c>
      <c r="H64" s="181"/>
      <c r="I64" s="181">
        <v>0</v>
      </c>
      <c r="J64" s="181">
        <v>0</v>
      </c>
      <c r="K64" s="181">
        <v>0</v>
      </c>
      <c r="L64" s="181"/>
      <c r="M64" s="181">
        <v>0</v>
      </c>
      <c r="N64" s="181">
        <v>0</v>
      </c>
      <c r="O64" s="181"/>
      <c r="P64" s="181"/>
      <c r="Q64" s="181"/>
      <c r="R64" s="181"/>
      <c r="S64" s="181"/>
      <c r="T64" s="181"/>
      <c r="U64" s="181"/>
      <c r="V64" s="181">
        <v>0</v>
      </c>
      <c r="W64" s="181">
        <v>0</v>
      </c>
      <c r="X64" s="181">
        <f t="shared" si="0"/>
        <v>0</v>
      </c>
    </row>
    <row r="65" spans="1:25" x14ac:dyDescent="0.2">
      <c r="A65" s="177"/>
      <c r="B65" s="178"/>
      <c r="C65" s="194" t="s">
        <v>574</v>
      </c>
      <c r="D65" s="180" t="s">
        <v>573</v>
      </c>
      <c r="E65" s="181">
        <v>5350</v>
      </c>
      <c r="F65" s="181">
        <v>0</v>
      </c>
      <c r="G65" s="181">
        <v>0</v>
      </c>
      <c r="H65" s="181"/>
      <c r="I65" s="181">
        <v>0</v>
      </c>
      <c r="J65" s="181">
        <v>0</v>
      </c>
      <c r="K65" s="181">
        <v>709</v>
      </c>
      <c r="L65" s="181">
        <v>13</v>
      </c>
      <c r="M65" s="181">
        <v>0</v>
      </c>
      <c r="N65" s="181">
        <v>4628</v>
      </c>
      <c r="O65" s="181">
        <v>114</v>
      </c>
      <c r="P65" s="181">
        <v>0</v>
      </c>
      <c r="Q65" s="181">
        <v>53</v>
      </c>
      <c r="R65" s="181">
        <v>46</v>
      </c>
      <c r="S65" s="181">
        <v>0</v>
      </c>
      <c r="T65" s="181">
        <v>0</v>
      </c>
      <c r="U65" s="181">
        <v>0</v>
      </c>
      <c r="V65" s="181">
        <v>5464</v>
      </c>
      <c r="W65" s="181">
        <v>0</v>
      </c>
      <c r="X65" s="181">
        <f t="shared" si="0"/>
        <v>5464</v>
      </c>
    </row>
    <row r="66" spans="1:25" ht="18" customHeight="1" x14ac:dyDescent="0.2">
      <c r="A66" s="188">
        <v>56</v>
      </c>
      <c r="B66" s="189" t="s">
        <v>226</v>
      </c>
      <c r="C66" s="190" t="s">
        <v>227</v>
      </c>
      <c r="D66" s="191" t="s">
        <v>573</v>
      </c>
      <c r="E66" s="192">
        <v>3369</v>
      </c>
      <c r="F66" s="192">
        <v>0</v>
      </c>
      <c r="G66" s="192">
        <v>0</v>
      </c>
      <c r="H66" s="192">
        <v>0</v>
      </c>
      <c r="I66" s="192">
        <v>0</v>
      </c>
      <c r="J66" s="192">
        <v>0</v>
      </c>
      <c r="K66" s="192">
        <v>0</v>
      </c>
      <c r="L66" s="192"/>
      <c r="M66" s="192"/>
      <c r="N66" s="192">
        <v>3369</v>
      </c>
      <c r="O66" s="192">
        <v>100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2">
        <v>3469</v>
      </c>
      <c r="W66" s="192">
        <v>0</v>
      </c>
      <c r="X66" s="192">
        <f>X67+X68</f>
        <v>3469</v>
      </c>
    </row>
    <row r="67" spans="1:25" x14ac:dyDescent="0.2">
      <c r="A67" s="195"/>
      <c r="B67" s="178"/>
      <c r="C67" s="194" t="s">
        <v>574</v>
      </c>
      <c r="D67" s="180" t="s">
        <v>575</v>
      </c>
      <c r="E67" s="181">
        <v>2944</v>
      </c>
      <c r="F67" s="181">
        <v>0</v>
      </c>
      <c r="G67" s="181">
        <v>0</v>
      </c>
      <c r="H67" s="181"/>
      <c r="I67" s="181">
        <v>0</v>
      </c>
      <c r="J67" s="181">
        <v>0</v>
      </c>
      <c r="K67" s="181">
        <v>0</v>
      </c>
      <c r="L67" s="181"/>
      <c r="M67" s="181">
        <v>0</v>
      </c>
      <c r="N67" s="181">
        <v>2944</v>
      </c>
      <c r="O67" s="181"/>
      <c r="P67" s="181"/>
      <c r="Q67" s="181"/>
      <c r="R67" s="181"/>
      <c r="S67" s="181"/>
      <c r="T67" s="181"/>
      <c r="U67" s="181"/>
      <c r="V67" s="181">
        <v>2944</v>
      </c>
      <c r="W67" s="181">
        <v>0</v>
      </c>
      <c r="X67" s="181">
        <f t="shared" si="0"/>
        <v>2944</v>
      </c>
    </row>
    <row r="68" spans="1:25" x14ac:dyDescent="0.2">
      <c r="A68" s="195"/>
      <c r="B68" s="178"/>
      <c r="C68" s="194" t="s">
        <v>574</v>
      </c>
      <c r="D68" s="180" t="s">
        <v>576</v>
      </c>
      <c r="E68" s="181">
        <v>425</v>
      </c>
      <c r="F68" s="181">
        <v>0</v>
      </c>
      <c r="G68" s="181">
        <v>0</v>
      </c>
      <c r="H68" s="181"/>
      <c r="I68" s="181">
        <v>0</v>
      </c>
      <c r="J68" s="181">
        <v>0</v>
      </c>
      <c r="K68" s="181">
        <v>0</v>
      </c>
      <c r="L68" s="181"/>
      <c r="M68" s="181">
        <v>0</v>
      </c>
      <c r="N68" s="181">
        <v>425</v>
      </c>
      <c r="O68" s="181">
        <v>100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1">
        <v>525</v>
      </c>
      <c r="W68" s="181">
        <v>0</v>
      </c>
      <c r="X68" s="181">
        <f t="shared" si="0"/>
        <v>525</v>
      </c>
    </row>
    <row r="69" spans="1:25" ht="18" customHeight="1" x14ac:dyDescent="0.2">
      <c r="A69" s="188">
        <v>57</v>
      </c>
      <c r="B69" s="189" t="s">
        <v>116</v>
      </c>
      <c r="C69" s="190" t="s">
        <v>577</v>
      </c>
      <c r="D69" s="191" t="s">
        <v>573</v>
      </c>
      <c r="E69" s="192">
        <v>575</v>
      </c>
      <c r="F69" s="192">
        <v>3</v>
      </c>
      <c r="G69" s="192">
        <v>0</v>
      </c>
      <c r="H69" s="192">
        <v>3</v>
      </c>
      <c r="I69" s="192">
        <v>0</v>
      </c>
      <c r="J69" s="192">
        <v>0</v>
      </c>
      <c r="K69" s="192">
        <v>17</v>
      </c>
      <c r="L69" s="192">
        <v>0</v>
      </c>
      <c r="M69" s="192">
        <v>0</v>
      </c>
      <c r="N69" s="192">
        <v>555</v>
      </c>
      <c r="O69" s="192">
        <v>62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2">
        <v>637</v>
      </c>
      <c r="W69" s="192">
        <v>0</v>
      </c>
      <c r="X69" s="192">
        <f>SUM(X70:X71)</f>
        <v>637</v>
      </c>
    </row>
    <row r="70" spans="1:25" x14ac:dyDescent="0.2">
      <c r="A70" s="195"/>
      <c r="B70" s="178"/>
      <c r="C70" s="194" t="s">
        <v>574</v>
      </c>
      <c r="D70" s="180" t="s">
        <v>567</v>
      </c>
      <c r="E70" s="181">
        <v>375</v>
      </c>
      <c r="F70" s="181">
        <v>3</v>
      </c>
      <c r="G70" s="181">
        <v>0</v>
      </c>
      <c r="H70" s="181">
        <v>3</v>
      </c>
      <c r="I70" s="181">
        <v>0</v>
      </c>
      <c r="J70" s="181">
        <v>0</v>
      </c>
      <c r="K70" s="181">
        <v>17</v>
      </c>
      <c r="L70" s="181"/>
      <c r="M70" s="181">
        <v>0</v>
      </c>
      <c r="N70" s="181">
        <v>355</v>
      </c>
      <c r="O70" s="181"/>
      <c r="P70" s="181"/>
      <c r="Q70" s="181"/>
      <c r="R70" s="181"/>
      <c r="S70" s="181"/>
      <c r="T70" s="181"/>
      <c r="U70" s="181"/>
      <c r="V70" s="181">
        <v>375</v>
      </c>
      <c r="W70" s="181">
        <v>0</v>
      </c>
      <c r="X70" s="181">
        <f t="shared" si="0"/>
        <v>375</v>
      </c>
    </row>
    <row r="71" spans="1:25" x14ac:dyDescent="0.2">
      <c r="A71" s="195"/>
      <c r="B71" s="178"/>
      <c r="C71" s="194" t="s">
        <v>574</v>
      </c>
      <c r="D71" s="180" t="s">
        <v>576</v>
      </c>
      <c r="E71" s="181">
        <v>200</v>
      </c>
      <c r="F71" s="181">
        <v>0</v>
      </c>
      <c r="G71" s="181">
        <v>0</v>
      </c>
      <c r="H71" s="181"/>
      <c r="I71" s="181">
        <v>0</v>
      </c>
      <c r="J71" s="181">
        <v>0</v>
      </c>
      <c r="K71" s="181">
        <v>0</v>
      </c>
      <c r="L71" s="181"/>
      <c r="M71" s="181">
        <v>0</v>
      </c>
      <c r="N71" s="181">
        <v>200</v>
      </c>
      <c r="O71" s="181">
        <v>62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1">
        <v>262</v>
      </c>
      <c r="W71" s="181">
        <v>0</v>
      </c>
      <c r="X71" s="181">
        <f>V71+W71</f>
        <v>262</v>
      </c>
    </row>
    <row r="72" spans="1:25" ht="18" customHeight="1" x14ac:dyDescent="0.2">
      <c r="A72" s="188">
        <v>58</v>
      </c>
      <c r="B72" s="189" t="s">
        <v>102</v>
      </c>
      <c r="C72" s="190" t="s">
        <v>103</v>
      </c>
      <c r="D72" s="191" t="s">
        <v>573</v>
      </c>
      <c r="E72" s="192">
        <v>10445</v>
      </c>
      <c r="F72" s="192">
        <v>21</v>
      </c>
      <c r="G72" s="192">
        <v>0</v>
      </c>
      <c r="H72" s="192">
        <v>21</v>
      </c>
      <c r="I72" s="192">
        <v>0</v>
      </c>
      <c r="J72" s="192">
        <v>0</v>
      </c>
      <c r="K72" s="192">
        <v>0</v>
      </c>
      <c r="L72" s="192">
        <v>0</v>
      </c>
      <c r="M72" s="192">
        <v>0</v>
      </c>
      <c r="N72" s="192">
        <v>10424</v>
      </c>
      <c r="O72" s="192">
        <v>130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2">
        <v>10575</v>
      </c>
      <c r="W72" s="192">
        <v>0</v>
      </c>
      <c r="X72" s="192">
        <f>SUM(X73:X74)</f>
        <v>10575</v>
      </c>
    </row>
    <row r="73" spans="1:25" x14ac:dyDescent="0.2">
      <c r="A73" s="195"/>
      <c r="B73" s="178"/>
      <c r="C73" s="194" t="s">
        <v>574</v>
      </c>
      <c r="D73" s="180" t="s">
        <v>567</v>
      </c>
      <c r="E73" s="181">
        <v>8694</v>
      </c>
      <c r="F73" s="181">
        <v>21</v>
      </c>
      <c r="G73" s="181">
        <v>0</v>
      </c>
      <c r="H73" s="181">
        <v>21</v>
      </c>
      <c r="I73" s="181">
        <v>0</v>
      </c>
      <c r="J73" s="181">
        <v>0</v>
      </c>
      <c r="K73" s="181">
        <v>0</v>
      </c>
      <c r="L73" s="181"/>
      <c r="M73" s="181">
        <v>0</v>
      </c>
      <c r="N73" s="181">
        <v>8673</v>
      </c>
      <c r="O73" s="181"/>
      <c r="P73" s="181"/>
      <c r="Q73" s="181"/>
      <c r="R73" s="181"/>
      <c r="S73" s="181"/>
      <c r="T73" s="181"/>
      <c r="U73" s="181"/>
      <c r="V73" s="181">
        <v>8694</v>
      </c>
      <c r="W73" s="181">
        <v>0</v>
      </c>
      <c r="X73" s="181">
        <f>V73+W73</f>
        <v>8694</v>
      </c>
    </row>
    <row r="74" spans="1:25" x14ac:dyDescent="0.2">
      <c r="A74" s="195"/>
      <c r="B74" s="178"/>
      <c r="C74" s="194" t="s">
        <v>574</v>
      </c>
      <c r="D74" s="180" t="s">
        <v>576</v>
      </c>
      <c r="E74" s="181">
        <v>1751</v>
      </c>
      <c r="F74" s="181">
        <v>0</v>
      </c>
      <c r="G74" s="181">
        <v>0</v>
      </c>
      <c r="H74" s="181"/>
      <c r="I74" s="181">
        <v>0</v>
      </c>
      <c r="J74" s="181">
        <v>0</v>
      </c>
      <c r="K74" s="181">
        <v>0</v>
      </c>
      <c r="L74" s="181"/>
      <c r="M74" s="181">
        <v>0</v>
      </c>
      <c r="N74" s="181">
        <v>1751</v>
      </c>
      <c r="O74" s="181">
        <v>130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1">
        <v>1881</v>
      </c>
      <c r="W74" s="181">
        <v>0</v>
      </c>
      <c r="X74" s="181">
        <f>V74+W74</f>
        <v>1881</v>
      </c>
    </row>
    <row r="75" spans="1:25" s="193" customFormat="1" ht="18" customHeight="1" x14ac:dyDescent="0.2">
      <c r="A75" s="188">
        <v>59</v>
      </c>
      <c r="B75" s="196" t="s">
        <v>26</v>
      </c>
      <c r="C75" s="190" t="s">
        <v>578</v>
      </c>
      <c r="D75" s="191" t="s">
        <v>576</v>
      </c>
      <c r="E75" s="192">
        <v>11236</v>
      </c>
      <c r="F75" s="192">
        <v>1</v>
      </c>
      <c r="G75" s="192">
        <v>0</v>
      </c>
      <c r="H75" s="192">
        <v>1</v>
      </c>
      <c r="I75" s="192">
        <v>0</v>
      </c>
      <c r="J75" s="192">
        <v>11</v>
      </c>
      <c r="K75" s="192">
        <v>89</v>
      </c>
      <c r="L75" s="192">
        <v>0</v>
      </c>
      <c r="M75" s="192">
        <v>0</v>
      </c>
      <c r="N75" s="192">
        <v>11135</v>
      </c>
      <c r="O75" s="192">
        <v>124</v>
      </c>
      <c r="P75" s="192">
        <v>0</v>
      </c>
      <c r="Q75" s="192">
        <v>4</v>
      </c>
      <c r="R75" s="192">
        <v>0</v>
      </c>
      <c r="S75" s="192">
        <v>0</v>
      </c>
      <c r="T75" s="192">
        <v>0</v>
      </c>
      <c r="U75" s="192">
        <v>0</v>
      </c>
      <c r="V75" s="192">
        <v>11360</v>
      </c>
      <c r="W75" s="213">
        <v>454</v>
      </c>
      <c r="X75" s="192">
        <f>SUM(X76:X77)</f>
        <v>11814</v>
      </c>
      <c r="Y75" s="197"/>
    </row>
    <row r="76" spans="1:25" x14ac:dyDescent="0.2">
      <c r="A76" s="195"/>
      <c r="B76" s="177"/>
      <c r="C76" s="194" t="s">
        <v>574</v>
      </c>
      <c r="D76" s="180" t="s">
        <v>566</v>
      </c>
      <c r="E76" s="181">
        <v>9279</v>
      </c>
      <c r="F76" s="181">
        <v>1</v>
      </c>
      <c r="G76" s="181">
        <v>0</v>
      </c>
      <c r="H76" s="181">
        <v>1</v>
      </c>
      <c r="I76" s="181">
        <v>0</v>
      </c>
      <c r="J76" s="181">
        <v>11</v>
      </c>
      <c r="K76" s="181">
        <v>0</v>
      </c>
      <c r="L76" s="181"/>
      <c r="M76" s="181">
        <v>0</v>
      </c>
      <c r="N76" s="181">
        <v>9267</v>
      </c>
      <c r="O76" s="180"/>
      <c r="P76" s="180"/>
      <c r="Q76" s="180"/>
      <c r="R76" s="180"/>
      <c r="S76" s="180"/>
      <c r="T76" s="180"/>
      <c r="U76" s="180"/>
      <c r="V76" s="181">
        <v>9279</v>
      </c>
      <c r="W76" s="181">
        <v>454</v>
      </c>
      <c r="X76" s="181">
        <f>V76+W76</f>
        <v>9733</v>
      </c>
    </row>
    <row r="77" spans="1:25" x14ac:dyDescent="0.2">
      <c r="A77" s="195"/>
      <c r="B77" s="177"/>
      <c r="C77" s="194" t="s">
        <v>574</v>
      </c>
      <c r="D77" s="180" t="s">
        <v>576</v>
      </c>
      <c r="E77" s="181">
        <v>1957</v>
      </c>
      <c r="F77" s="181">
        <v>0</v>
      </c>
      <c r="G77" s="181">
        <v>0</v>
      </c>
      <c r="H77" s="180"/>
      <c r="I77" s="181">
        <v>0</v>
      </c>
      <c r="J77" s="181">
        <v>0</v>
      </c>
      <c r="K77" s="181">
        <v>89</v>
      </c>
      <c r="L77" s="181"/>
      <c r="M77" s="181">
        <v>0</v>
      </c>
      <c r="N77" s="181">
        <v>1868</v>
      </c>
      <c r="O77" s="181">
        <v>124</v>
      </c>
      <c r="P77" s="181">
        <v>0</v>
      </c>
      <c r="Q77" s="181">
        <v>4</v>
      </c>
      <c r="R77" s="181">
        <v>0</v>
      </c>
      <c r="S77" s="181">
        <v>0</v>
      </c>
      <c r="T77" s="181">
        <v>0</v>
      </c>
      <c r="U77" s="181">
        <v>0</v>
      </c>
      <c r="V77" s="181">
        <v>2081</v>
      </c>
      <c r="W77" s="181">
        <v>0</v>
      </c>
      <c r="X77" s="181">
        <f>V77+W77</f>
        <v>2081</v>
      </c>
    </row>
    <row r="78" spans="1:25" s="193" customFormat="1" ht="18" customHeight="1" x14ac:dyDescent="0.2">
      <c r="A78" s="188">
        <v>60</v>
      </c>
      <c r="B78" s="196" t="s">
        <v>32</v>
      </c>
      <c r="C78" s="190" t="s">
        <v>33</v>
      </c>
      <c r="D78" s="191" t="s">
        <v>576</v>
      </c>
      <c r="E78" s="192">
        <v>5016</v>
      </c>
      <c r="F78" s="192">
        <v>94</v>
      </c>
      <c r="G78" s="192">
        <v>0</v>
      </c>
      <c r="H78" s="192">
        <v>94</v>
      </c>
      <c r="I78" s="192">
        <v>0</v>
      </c>
      <c r="J78" s="192">
        <v>2</v>
      </c>
      <c r="K78" s="192">
        <v>252</v>
      </c>
      <c r="L78" s="192">
        <v>1</v>
      </c>
      <c r="M78" s="192">
        <v>0</v>
      </c>
      <c r="N78" s="192">
        <v>4667</v>
      </c>
      <c r="O78" s="192">
        <v>46</v>
      </c>
      <c r="P78" s="192">
        <v>0</v>
      </c>
      <c r="Q78" s="192">
        <v>4</v>
      </c>
      <c r="R78" s="192">
        <v>0</v>
      </c>
      <c r="S78" s="192">
        <v>0</v>
      </c>
      <c r="T78" s="192">
        <v>0</v>
      </c>
      <c r="U78" s="192">
        <v>0</v>
      </c>
      <c r="V78" s="192">
        <v>5062</v>
      </c>
      <c r="W78" s="192">
        <v>411</v>
      </c>
      <c r="X78" s="192">
        <f>SUM(X79:X80)</f>
        <v>5473</v>
      </c>
    </row>
    <row r="79" spans="1:25" x14ac:dyDescent="0.2">
      <c r="A79" s="195"/>
      <c r="B79" s="177"/>
      <c r="C79" s="194" t="s">
        <v>574</v>
      </c>
      <c r="D79" s="180" t="s">
        <v>566</v>
      </c>
      <c r="E79" s="181">
        <v>3494</v>
      </c>
      <c r="F79" s="181">
        <v>94</v>
      </c>
      <c r="G79" s="181">
        <v>0</v>
      </c>
      <c r="H79" s="181">
        <v>94</v>
      </c>
      <c r="I79" s="181">
        <v>0</v>
      </c>
      <c r="J79" s="181">
        <v>2</v>
      </c>
      <c r="K79" s="181">
        <v>0</v>
      </c>
      <c r="L79" s="181"/>
      <c r="M79" s="181">
        <v>0</v>
      </c>
      <c r="N79" s="181">
        <v>3398</v>
      </c>
      <c r="O79" s="180"/>
      <c r="P79" s="180"/>
      <c r="Q79" s="180"/>
      <c r="R79" s="180"/>
      <c r="S79" s="180"/>
      <c r="T79" s="180"/>
      <c r="U79" s="180"/>
      <c r="V79" s="181">
        <v>3494</v>
      </c>
      <c r="W79" s="181">
        <v>411</v>
      </c>
      <c r="X79" s="181">
        <f>V79+W79</f>
        <v>3905</v>
      </c>
    </row>
    <row r="80" spans="1:25" x14ac:dyDescent="0.2">
      <c r="A80" s="195"/>
      <c r="B80" s="177"/>
      <c r="C80" s="194" t="s">
        <v>574</v>
      </c>
      <c r="D80" s="195" t="s">
        <v>576</v>
      </c>
      <c r="E80" s="198">
        <v>1522</v>
      </c>
      <c r="F80" s="199">
        <v>0</v>
      </c>
      <c r="G80" s="198">
        <v>0</v>
      </c>
      <c r="H80" s="199"/>
      <c r="I80" s="198">
        <v>0</v>
      </c>
      <c r="J80" s="198">
        <v>0</v>
      </c>
      <c r="K80" s="198">
        <v>252</v>
      </c>
      <c r="L80" s="198">
        <v>1</v>
      </c>
      <c r="M80" s="198">
        <v>0</v>
      </c>
      <c r="N80" s="198">
        <v>1269</v>
      </c>
      <c r="O80" s="200">
        <v>46</v>
      </c>
      <c r="P80" s="200">
        <v>0</v>
      </c>
      <c r="Q80" s="200">
        <v>4</v>
      </c>
      <c r="R80" s="200">
        <v>0</v>
      </c>
      <c r="S80" s="200">
        <v>0</v>
      </c>
      <c r="T80" s="200">
        <v>0</v>
      </c>
      <c r="U80" s="200">
        <v>0</v>
      </c>
      <c r="V80" s="181">
        <v>1568</v>
      </c>
      <c r="W80" s="181">
        <v>0</v>
      </c>
      <c r="X80" s="181">
        <f>V80+W80</f>
        <v>1568</v>
      </c>
    </row>
    <row r="81" spans="1:24" s="193" customFormat="1" ht="18" customHeight="1" x14ac:dyDescent="0.2">
      <c r="A81" s="188">
        <v>61</v>
      </c>
      <c r="B81" s="189" t="s">
        <v>20</v>
      </c>
      <c r="C81" s="190" t="s">
        <v>21</v>
      </c>
      <c r="D81" s="191" t="s">
        <v>576</v>
      </c>
      <c r="E81" s="192">
        <v>17655</v>
      </c>
      <c r="F81" s="192">
        <v>59</v>
      </c>
      <c r="G81" s="192">
        <v>0</v>
      </c>
      <c r="H81" s="192">
        <v>59</v>
      </c>
      <c r="I81" s="192">
        <v>0</v>
      </c>
      <c r="J81" s="192">
        <v>2</v>
      </c>
      <c r="K81" s="192">
        <v>231</v>
      </c>
      <c r="L81" s="192">
        <v>0</v>
      </c>
      <c r="M81" s="192">
        <v>0</v>
      </c>
      <c r="N81" s="192">
        <v>17363</v>
      </c>
      <c r="O81" s="192">
        <v>36</v>
      </c>
      <c r="P81" s="192">
        <v>0</v>
      </c>
      <c r="Q81" s="192">
        <v>4</v>
      </c>
      <c r="R81" s="192">
        <v>0</v>
      </c>
      <c r="S81" s="192">
        <v>0</v>
      </c>
      <c r="T81" s="192">
        <v>0</v>
      </c>
      <c r="U81" s="192">
        <v>0</v>
      </c>
      <c r="V81" s="192">
        <v>17691</v>
      </c>
      <c r="W81" s="192">
        <v>415</v>
      </c>
      <c r="X81" s="192">
        <f>SUM(X82:X83)</f>
        <v>18106</v>
      </c>
    </row>
    <row r="82" spans="1:24" x14ac:dyDescent="0.2">
      <c r="A82" s="195"/>
      <c r="B82" s="177"/>
      <c r="C82" s="194" t="s">
        <v>574</v>
      </c>
      <c r="D82" s="180" t="s">
        <v>566</v>
      </c>
      <c r="E82" s="181">
        <v>14993</v>
      </c>
      <c r="F82" s="181">
        <v>59</v>
      </c>
      <c r="G82" s="181">
        <v>0</v>
      </c>
      <c r="H82" s="181">
        <v>59</v>
      </c>
      <c r="I82" s="181">
        <v>0</v>
      </c>
      <c r="J82" s="181">
        <v>2</v>
      </c>
      <c r="K82" s="181">
        <v>0</v>
      </c>
      <c r="L82" s="181"/>
      <c r="M82" s="181">
        <v>0</v>
      </c>
      <c r="N82" s="181">
        <v>14932</v>
      </c>
      <c r="O82" s="180"/>
      <c r="P82" s="180"/>
      <c r="Q82" s="180"/>
      <c r="R82" s="180"/>
      <c r="S82" s="180"/>
      <c r="T82" s="180"/>
      <c r="U82" s="180"/>
      <c r="V82" s="181">
        <v>14993</v>
      </c>
      <c r="W82" s="181">
        <v>415</v>
      </c>
      <c r="X82" s="181">
        <f>V82+W82</f>
        <v>15408</v>
      </c>
    </row>
    <row r="83" spans="1:24" x14ac:dyDescent="0.2">
      <c r="A83" s="195"/>
      <c r="B83" s="177"/>
      <c r="C83" s="194" t="s">
        <v>574</v>
      </c>
      <c r="D83" s="199" t="s">
        <v>579</v>
      </c>
      <c r="E83" s="198">
        <v>2662</v>
      </c>
      <c r="F83" s="199">
        <v>0</v>
      </c>
      <c r="G83" s="198">
        <v>0</v>
      </c>
      <c r="H83" s="199"/>
      <c r="I83" s="198">
        <v>0</v>
      </c>
      <c r="J83" s="198">
        <v>0</v>
      </c>
      <c r="K83" s="198">
        <v>231</v>
      </c>
      <c r="L83" s="198"/>
      <c r="M83" s="198">
        <v>0</v>
      </c>
      <c r="N83" s="198">
        <v>2431</v>
      </c>
      <c r="O83" s="200">
        <v>36</v>
      </c>
      <c r="P83" s="200">
        <v>0</v>
      </c>
      <c r="Q83" s="200">
        <v>4</v>
      </c>
      <c r="R83" s="200">
        <v>0</v>
      </c>
      <c r="S83" s="200">
        <v>0</v>
      </c>
      <c r="T83" s="200">
        <v>0</v>
      </c>
      <c r="U83" s="200">
        <v>0</v>
      </c>
      <c r="V83" s="181">
        <v>2698</v>
      </c>
      <c r="W83" s="181">
        <v>0</v>
      </c>
      <c r="X83" s="181">
        <f>V83+W83</f>
        <v>2698</v>
      </c>
    </row>
    <row r="84" spans="1:24" s="193" customFormat="1" ht="18" customHeight="1" x14ac:dyDescent="0.2">
      <c r="A84" s="188">
        <v>62</v>
      </c>
      <c r="B84" s="189" t="s">
        <v>28</v>
      </c>
      <c r="C84" s="190" t="s">
        <v>580</v>
      </c>
      <c r="D84" s="191" t="s">
        <v>576</v>
      </c>
      <c r="E84" s="192">
        <v>15074</v>
      </c>
      <c r="F84" s="192">
        <v>1</v>
      </c>
      <c r="G84" s="192">
        <v>0</v>
      </c>
      <c r="H84" s="192">
        <v>1</v>
      </c>
      <c r="I84" s="192">
        <v>0</v>
      </c>
      <c r="J84" s="192">
        <v>0</v>
      </c>
      <c r="K84" s="192">
        <v>0</v>
      </c>
      <c r="L84" s="192">
        <v>0</v>
      </c>
      <c r="M84" s="192">
        <v>0</v>
      </c>
      <c r="N84" s="192">
        <v>15073</v>
      </c>
      <c r="O84" s="192">
        <v>10</v>
      </c>
      <c r="P84" s="192">
        <v>0</v>
      </c>
      <c r="Q84" s="192">
        <v>0</v>
      </c>
      <c r="R84" s="192">
        <v>0</v>
      </c>
      <c r="S84" s="192">
        <v>0</v>
      </c>
      <c r="T84" s="192">
        <v>0</v>
      </c>
      <c r="U84" s="192">
        <v>0</v>
      </c>
      <c r="V84" s="192">
        <v>15084</v>
      </c>
      <c r="W84" s="192">
        <v>723</v>
      </c>
      <c r="X84" s="192">
        <f>SUM(X85:X86)</f>
        <v>15807</v>
      </c>
    </row>
    <row r="85" spans="1:24" x14ac:dyDescent="0.2">
      <c r="A85" s="195"/>
      <c r="B85" s="177"/>
      <c r="C85" s="194" t="s">
        <v>574</v>
      </c>
      <c r="D85" s="180" t="s">
        <v>567</v>
      </c>
      <c r="E85" s="181">
        <v>14115</v>
      </c>
      <c r="F85" s="181">
        <v>1</v>
      </c>
      <c r="G85" s="181">
        <v>0</v>
      </c>
      <c r="H85" s="181">
        <v>1</v>
      </c>
      <c r="I85" s="181">
        <v>0</v>
      </c>
      <c r="J85" s="181">
        <v>0</v>
      </c>
      <c r="K85" s="181">
        <v>0</v>
      </c>
      <c r="L85" s="181"/>
      <c r="M85" s="181">
        <v>0</v>
      </c>
      <c r="N85" s="181">
        <v>14114</v>
      </c>
      <c r="O85" s="180"/>
      <c r="P85" s="180"/>
      <c r="Q85" s="180"/>
      <c r="R85" s="180"/>
      <c r="S85" s="180"/>
      <c r="T85" s="180"/>
      <c r="U85" s="180"/>
      <c r="V85" s="181">
        <v>14115</v>
      </c>
      <c r="W85" s="181">
        <v>723</v>
      </c>
      <c r="X85" s="181">
        <f>V85+W85</f>
        <v>14838</v>
      </c>
    </row>
    <row r="86" spans="1:24" x14ac:dyDescent="0.2">
      <c r="A86" s="195"/>
      <c r="B86" s="177"/>
      <c r="C86" s="194" t="s">
        <v>574</v>
      </c>
      <c r="D86" s="180" t="s">
        <v>576</v>
      </c>
      <c r="E86" s="198">
        <v>959</v>
      </c>
      <c r="F86" s="198">
        <v>0</v>
      </c>
      <c r="G86" s="198">
        <v>0</v>
      </c>
      <c r="H86" s="198"/>
      <c r="I86" s="198">
        <v>0</v>
      </c>
      <c r="J86" s="198">
        <v>0</v>
      </c>
      <c r="K86" s="198">
        <v>0</v>
      </c>
      <c r="L86" s="198"/>
      <c r="M86" s="198">
        <v>0</v>
      </c>
      <c r="N86" s="198">
        <v>959</v>
      </c>
      <c r="O86" s="200">
        <v>10</v>
      </c>
      <c r="P86" s="200">
        <v>0</v>
      </c>
      <c r="Q86" s="200">
        <v>0</v>
      </c>
      <c r="R86" s="200">
        <v>0</v>
      </c>
      <c r="S86" s="200">
        <v>0</v>
      </c>
      <c r="T86" s="200">
        <v>0</v>
      </c>
      <c r="U86" s="200">
        <v>0</v>
      </c>
      <c r="V86" s="181">
        <v>969</v>
      </c>
      <c r="W86" s="181">
        <v>0</v>
      </c>
      <c r="X86" s="181">
        <f>V86+W86</f>
        <v>969</v>
      </c>
    </row>
    <row r="87" spans="1:24" s="193" customFormat="1" ht="18" customHeight="1" x14ac:dyDescent="0.2">
      <c r="A87" s="188">
        <v>63</v>
      </c>
      <c r="B87" s="189" t="s">
        <v>18</v>
      </c>
      <c r="C87" s="190" t="s">
        <v>581</v>
      </c>
      <c r="D87" s="191" t="s">
        <v>576</v>
      </c>
      <c r="E87" s="192">
        <v>22849</v>
      </c>
      <c r="F87" s="192">
        <v>30</v>
      </c>
      <c r="G87" s="192">
        <v>0</v>
      </c>
      <c r="H87" s="192">
        <v>30</v>
      </c>
      <c r="I87" s="192">
        <v>0</v>
      </c>
      <c r="J87" s="192">
        <v>20</v>
      </c>
      <c r="K87" s="192">
        <v>445</v>
      </c>
      <c r="L87" s="192">
        <v>0</v>
      </c>
      <c r="M87" s="192">
        <v>0</v>
      </c>
      <c r="N87" s="192">
        <v>22354</v>
      </c>
      <c r="O87" s="192">
        <v>4</v>
      </c>
      <c r="P87" s="192">
        <v>0</v>
      </c>
      <c r="Q87" s="192">
        <v>4</v>
      </c>
      <c r="R87" s="192">
        <v>0</v>
      </c>
      <c r="S87" s="192">
        <v>0</v>
      </c>
      <c r="T87" s="192">
        <v>0</v>
      </c>
      <c r="U87" s="192">
        <v>0</v>
      </c>
      <c r="V87" s="192">
        <v>22853</v>
      </c>
      <c r="W87" s="192">
        <v>676</v>
      </c>
      <c r="X87" s="192">
        <f>SUM(X88:X89)</f>
        <v>23529</v>
      </c>
    </row>
    <row r="88" spans="1:24" x14ac:dyDescent="0.2">
      <c r="A88" s="195"/>
      <c r="B88" s="177"/>
      <c r="C88" s="194" t="s">
        <v>574</v>
      </c>
      <c r="D88" s="180" t="s">
        <v>567</v>
      </c>
      <c r="E88" s="181">
        <v>22256</v>
      </c>
      <c r="F88" s="181">
        <v>30</v>
      </c>
      <c r="G88" s="181">
        <v>0</v>
      </c>
      <c r="H88" s="181">
        <v>30</v>
      </c>
      <c r="I88" s="181">
        <v>0</v>
      </c>
      <c r="J88" s="181">
        <v>20</v>
      </c>
      <c r="K88" s="181">
        <v>0</v>
      </c>
      <c r="L88" s="181"/>
      <c r="M88" s="181">
        <v>0</v>
      </c>
      <c r="N88" s="181">
        <v>22206</v>
      </c>
      <c r="O88" s="180"/>
      <c r="P88" s="180"/>
      <c r="Q88" s="180"/>
      <c r="R88" s="180"/>
      <c r="S88" s="180"/>
      <c r="T88" s="180"/>
      <c r="U88" s="180"/>
      <c r="V88" s="181">
        <v>22256</v>
      </c>
      <c r="W88" s="181">
        <v>676</v>
      </c>
      <c r="X88" s="181">
        <f>V88+W88</f>
        <v>22932</v>
      </c>
    </row>
    <row r="89" spans="1:24" x14ac:dyDescent="0.2">
      <c r="A89" s="195"/>
      <c r="B89" s="177"/>
      <c r="C89" s="194" t="s">
        <v>574</v>
      </c>
      <c r="D89" s="180" t="s">
        <v>576</v>
      </c>
      <c r="E89" s="181">
        <v>593</v>
      </c>
      <c r="F89" s="181">
        <v>0</v>
      </c>
      <c r="G89" s="181">
        <v>0</v>
      </c>
      <c r="H89" s="181"/>
      <c r="I89" s="181">
        <v>0</v>
      </c>
      <c r="J89" s="181">
        <v>0</v>
      </c>
      <c r="K89" s="181">
        <v>445</v>
      </c>
      <c r="L89" s="181"/>
      <c r="M89" s="181">
        <v>0</v>
      </c>
      <c r="N89" s="181">
        <v>148</v>
      </c>
      <c r="O89" s="201">
        <v>4</v>
      </c>
      <c r="P89" s="201">
        <v>0</v>
      </c>
      <c r="Q89" s="201">
        <v>4</v>
      </c>
      <c r="R89" s="201">
        <v>0</v>
      </c>
      <c r="S89" s="201">
        <v>0</v>
      </c>
      <c r="T89" s="201">
        <v>0</v>
      </c>
      <c r="U89" s="201">
        <v>0</v>
      </c>
      <c r="V89" s="181">
        <v>597</v>
      </c>
      <c r="W89" s="181">
        <v>0</v>
      </c>
      <c r="X89" s="181">
        <f>V89+W89</f>
        <v>597</v>
      </c>
    </row>
    <row r="90" spans="1:24" s="193" customFormat="1" ht="18" customHeight="1" x14ac:dyDescent="0.2">
      <c r="A90" s="188">
        <v>64</v>
      </c>
      <c r="B90" s="202" t="s">
        <v>98</v>
      </c>
      <c r="C90" s="190" t="s">
        <v>582</v>
      </c>
      <c r="D90" s="191" t="s">
        <v>576</v>
      </c>
      <c r="E90" s="192">
        <v>19145</v>
      </c>
      <c r="F90" s="192">
        <v>24</v>
      </c>
      <c r="G90" s="192">
        <v>0</v>
      </c>
      <c r="H90" s="192">
        <v>24</v>
      </c>
      <c r="I90" s="192">
        <v>0</v>
      </c>
      <c r="J90" s="192">
        <v>0</v>
      </c>
      <c r="K90" s="192">
        <v>429</v>
      </c>
      <c r="L90" s="192">
        <v>0</v>
      </c>
      <c r="M90" s="192">
        <v>5</v>
      </c>
      <c r="N90" s="192">
        <v>18687</v>
      </c>
      <c r="O90" s="192">
        <v>152</v>
      </c>
      <c r="P90" s="192">
        <v>0</v>
      </c>
      <c r="Q90" s="192">
        <v>3</v>
      </c>
      <c r="R90" s="192">
        <v>0</v>
      </c>
      <c r="S90" s="192">
        <v>0</v>
      </c>
      <c r="T90" s="192">
        <v>0</v>
      </c>
      <c r="U90" s="192">
        <v>0</v>
      </c>
      <c r="V90" s="192">
        <v>19297</v>
      </c>
      <c r="W90" s="192">
        <v>0</v>
      </c>
      <c r="X90" s="192">
        <f>X91+X92</f>
        <v>19297</v>
      </c>
    </row>
    <row r="91" spans="1:24" x14ac:dyDescent="0.2">
      <c r="A91" s="195"/>
      <c r="B91" s="177"/>
      <c r="C91" s="194" t="s">
        <v>574</v>
      </c>
      <c r="D91" s="180" t="s">
        <v>566</v>
      </c>
      <c r="E91" s="181">
        <v>16135</v>
      </c>
      <c r="F91" s="181">
        <v>24</v>
      </c>
      <c r="G91" s="181">
        <v>0</v>
      </c>
      <c r="H91" s="181">
        <v>24</v>
      </c>
      <c r="I91" s="181">
        <v>0</v>
      </c>
      <c r="J91" s="181">
        <v>0</v>
      </c>
      <c r="K91" s="181">
        <v>0</v>
      </c>
      <c r="L91" s="181"/>
      <c r="M91" s="181">
        <v>0</v>
      </c>
      <c r="N91" s="181">
        <v>16111</v>
      </c>
      <c r="O91" s="180"/>
      <c r="P91" s="180"/>
      <c r="Q91" s="180"/>
      <c r="R91" s="180"/>
      <c r="S91" s="180"/>
      <c r="T91" s="180"/>
      <c r="U91" s="180"/>
      <c r="V91" s="181">
        <v>16135</v>
      </c>
      <c r="W91" s="181">
        <v>0</v>
      </c>
      <c r="X91" s="181">
        <f>V91+W91</f>
        <v>16135</v>
      </c>
    </row>
    <row r="92" spans="1:24" x14ac:dyDescent="0.2">
      <c r="A92" s="195"/>
      <c r="B92" s="177"/>
      <c r="C92" s="194" t="s">
        <v>574</v>
      </c>
      <c r="D92" s="195" t="s">
        <v>576</v>
      </c>
      <c r="E92" s="198">
        <v>3010</v>
      </c>
      <c r="F92" s="198">
        <v>0</v>
      </c>
      <c r="G92" s="198">
        <v>0</v>
      </c>
      <c r="H92" s="198"/>
      <c r="I92" s="198">
        <v>0</v>
      </c>
      <c r="J92" s="198">
        <v>0</v>
      </c>
      <c r="K92" s="198">
        <v>429</v>
      </c>
      <c r="L92" s="198"/>
      <c r="M92" s="198">
        <v>5</v>
      </c>
      <c r="N92" s="198">
        <v>2576</v>
      </c>
      <c r="O92" s="201">
        <v>152</v>
      </c>
      <c r="P92" s="201">
        <v>0</v>
      </c>
      <c r="Q92" s="201">
        <v>3</v>
      </c>
      <c r="R92" s="201">
        <v>0</v>
      </c>
      <c r="S92" s="201">
        <v>0</v>
      </c>
      <c r="T92" s="201">
        <v>0</v>
      </c>
      <c r="U92" s="201">
        <v>0</v>
      </c>
      <c r="V92" s="181">
        <v>3162</v>
      </c>
      <c r="W92" s="181">
        <v>0</v>
      </c>
      <c r="X92" s="181">
        <f>V92+W92</f>
        <v>3162</v>
      </c>
    </row>
    <row r="93" spans="1:24" s="193" customFormat="1" ht="18" customHeight="1" x14ac:dyDescent="0.2">
      <c r="A93" s="188">
        <v>65</v>
      </c>
      <c r="B93" s="202" t="s">
        <v>92</v>
      </c>
      <c r="C93" s="190" t="s">
        <v>583</v>
      </c>
      <c r="D93" s="191" t="s">
        <v>576</v>
      </c>
      <c r="E93" s="192">
        <v>45639</v>
      </c>
      <c r="F93" s="192">
        <v>970</v>
      </c>
      <c r="G93" s="192">
        <v>654</v>
      </c>
      <c r="H93" s="192">
        <v>316</v>
      </c>
      <c r="I93" s="192">
        <v>0</v>
      </c>
      <c r="J93" s="192">
        <v>0</v>
      </c>
      <c r="K93" s="192">
        <v>554</v>
      </c>
      <c r="L93" s="192">
        <v>0</v>
      </c>
      <c r="M93" s="192">
        <v>50</v>
      </c>
      <c r="N93" s="192">
        <v>44065</v>
      </c>
      <c r="O93" s="192">
        <v>819</v>
      </c>
      <c r="P93" s="192">
        <v>190</v>
      </c>
      <c r="Q93" s="192">
        <v>5</v>
      </c>
      <c r="R93" s="192">
        <v>0</v>
      </c>
      <c r="S93" s="192">
        <v>0</v>
      </c>
      <c r="T93" s="192">
        <v>105</v>
      </c>
      <c r="U93" s="192">
        <v>0</v>
      </c>
      <c r="V93" s="192">
        <v>46458</v>
      </c>
      <c r="W93" s="192">
        <v>1562</v>
      </c>
      <c r="X93" s="192">
        <f>X94+X95</f>
        <v>48020</v>
      </c>
    </row>
    <row r="94" spans="1:24" x14ac:dyDescent="0.2">
      <c r="A94" s="195"/>
      <c r="B94" s="177"/>
      <c r="C94" s="194" t="s">
        <v>574</v>
      </c>
      <c r="D94" s="180" t="s">
        <v>566</v>
      </c>
      <c r="E94" s="181">
        <v>34412</v>
      </c>
      <c r="F94" s="181">
        <v>244</v>
      </c>
      <c r="G94" s="181">
        <v>54</v>
      </c>
      <c r="H94" s="181">
        <v>190</v>
      </c>
      <c r="I94" s="181">
        <v>0</v>
      </c>
      <c r="J94" s="181">
        <v>0</v>
      </c>
      <c r="K94" s="181">
        <v>0</v>
      </c>
      <c r="L94" s="181"/>
      <c r="M94" s="181">
        <v>0</v>
      </c>
      <c r="N94" s="181">
        <v>34168</v>
      </c>
      <c r="O94" s="180"/>
      <c r="P94" s="180"/>
      <c r="Q94" s="180"/>
      <c r="R94" s="180"/>
      <c r="S94" s="180"/>
      <c r="T94" s="180"/>
      <c r="U94" s="180"/>
      <c r="V94" s="181">
        <v>34412</v>
      </c>
      <c r="W94" s="181">
        <v>1562</v>
      </c>
      <c r="X94" s="181">
        <f>V94+W94</f>
        <v>35974</v>
      </c>
    </row>
    <row r="95" spans="1:24" x14ac:dyDescent="0.2">
      <c r="A95" s="195"/>
      <c r="B95" s="177"/>
      <c r="C95" s="194" t="s">
        <v>574</v>
      </c>
      <c r="D95" s="195" t="s">
        <v>576</v>
      </c>
      <c r="E95" s="198">
        <v>11227</v>
      </c>
      <c r="F95" s="198">
        <v>726</v>
      </c>
      <c r="G95" s="198">
        <v>600</v>
      </c>
      <c r="H95" s="198">
        <v>126</v>
      </c>
      <c r="I95" s="198">
        <v>0</v>
      </c>
      <c r="J95" s="198">
        <v>0</v>
      </c>
      <c r="K95" s="198">
        <v>554</v>
      </c>
      <c r="L95" s="198"/>
      <c r="M95" s="198">
        <v>50</v>
      </c>
      <c r="N95" s="198">
        <v>9897</v>
      </c>
      <c r="O95" s="200">
        <v>819</v>
      </c>
      <c r="P95" s="200">
        <v>190</v>
      </c>
      <c r="Q95" s="200">
        <v>5</v>
      </c>
      <c r="R95" s="200">
        <v>0</v>
      </c>
      <c r="S95" s="200">
        <v>0</v>
      </c>
      <c r="T95" s="200">
        <v>105</v>
      </c>
      <c r="U95" s="200">
        <v>0</v>
      </c>
      <c r="V95" s="181">
        <v>12046</v>
      </c>
      <c r="W95" s="181">
        <v>0</v>
      </c>
      <c r="X95" s="181">
        <f>V95+W95</f>
        <v>12046</v>
      </c>
    </row>
    <row r="96" spans="1:24" s="193" customFormat="1" x14ac:dyDescent="0.2">
      <c r="A96" s="599"/>
      <c r="B96" s="603" t="s">
        <v>94</v>
      </c>
      <c r="C96" s="190" t="s">
        <v>791</v>
      </c>
      <c r="D96" s="599" t="s">
        <v>792</v>
      </c>
      <c r="E96" s="601">
        <v>1139</v>
      </c>
      <c r="F96" s="601"/>
      <c r="G96" s="601"/>
      <c r="H96" s="601"/>
      <c r="I96" s="601"/>
      <c r="J96" s="601"/>
      <c r="K96" s="601"/>
      <c r="L96" s="601"/>
      <c r="M96" s="601"/>
      <c r="N96" s="601">
        <v>1139</v>
      </c>
      <c r="O96" s="602"/>
      <c r="P96" s="602"/>
      <c r="Q96" s="602"/>
      <c r="R96" s="602"/>
      <c r="S96" s="602"/>
      <c r="T96" s="602"/>
      <c r="U96" s="602"/>
      <c r="V96" s="192">
        <v>1139</v>
      </c>
      <c r="W96" s="192">
        <v>240</v>
      </c>
      <c r="X96" s="192">
        <f>V96+W96</f>
        <v>1379</v>
      </c>
    </row>
    <row r="97" spans="1:25" s="193" customFormat="1" ht="18" customHeight="1" x14ac:dyDescent="0.2">
      <c r="A97" s="188">
        <v>66</v>
      </c>
      <c r="B97" s="202" t="s">
        <v>190</v>
      </c>
      <c r="C97" s="190" t="s">
        <v>431</v>
      </c>
      <c r="D97" s="191" t="s">
        <v>576</v>
      </c>
      <c r="E97" s="192">
        <v>11907</v>
      </c>
      <c r="F97" s="192">
        <v>1177</v>
      </c>
      <c r="G97" s="192">
        <v>1146</v>
      </c>
      <c r="H97" s="192">
        <v>31</v>
      </c>
      <c r="I97" s="192">
        <v>0</v>
      </c>
      <c r="J97" s="192">
        <v>15</v>
      </c>
      <c r="K97" s="192">
        <v>0</v>
      </c>
      <c r="L97" s="192">
        <v>0</v>
      </c>
      <c r="M97" s="192">
        <v>0</v>
      </c>
      <c r="N97" s="192">
        <v>10715</v>
      </c>
      <c r="O97" s="192">
        <v>405</v>
      </c>
      <c r="P97" s="192">
        <v>0</v>
      </c>
      <c r="Q97" s="192">
        <v>0</v>
      </c>
      <c r="R97" s="192">
        <v>0</v>
      </c>
      <c r="S97" s="192">
        <v>0</v>
      </c>
      <c r="T97" s="192">
        <v>0</v>
      </c>
      <c r="U97" s="192">
        <v>0</v>
      </c>
      <c r="V97" s="192">
        <v>12312</v>
      </c>
      <c r="W97" s="192">
        <v>768</v>
      </c>
      <c r="X97" s="192">
        <f>SUM(X98:X99)</f>
        <v>13080</v>
      </c>
    </row>
    <row r="98" spans="1:25" x14ac:dyDescent="0.2">
      <c r="A98" s="195"/>
      <c r="B98" s="177"/>
      <c r="C98" s="194" t="s">
        <v>574</v>
      </c>
      <c r="D98" s="180" t="s">
        <v>567</v>
      </c>
      <c r="E98" s="181">
        <v>5975</v>
      </c>
      <c r="F98" s="181">
        <v>38</v>
      </c>
      <c r="G98" s="181">
        <v>9</v>
      </c>
      <c r="H98" s="181">
        <v>29</v>
      </c>
      <c r="I98" s="181">
        <v>0</v>
      </c>
      <c r="J98" s="181">
        <v>15</v>
      </c>
      <c r="K98" s="181">
        <v>0</v>
      </c>
      <c r="L98" s="181"/>
      <c r="M98" s="181">
        <v>0</v>
      </c>
      <c r="N98" s="181">
        <v>5922</v>
      </c>
      <c r="O98" s="180"/>
      <c r="P98" s="180"/>
      <c r="Q98" s="180"/>
      <c r="R98" s="180"/>
      <c r="S98" s="180"/>
      <c r="T98" s="180"/>
      <c r="U98" s="180"/>
      <c r="V98" s="181">
        <v>5975</v>
      </c>
      <c r="W98" s="181">
        <v>768</v>
      </c>
      <c r="X98" s="181">
        <f>V98+W98</f>
        <v>6743</v>
      </c>
    </row>
    <row r="99" spans="1:25" x14ac:dyDescent="0.2">
      <c r="A99" s="195"/>
      <c r="B99" s="177"/>
      <c r="C99" s="194" t="s">
        <v>574</v>
      </c>
      <c r="D99" s="195" t="s">
        <v>576</v>
      </c>
      <c r="E99" s="198">
        <v>5932</v>
      </c>
      <c r="F99" s="198">
        <v>1139</v>
      </c>
      <c r="G99" s="198">
        <v>1137</v>
      </c>
      <c r="H99" s="198">
        <v>2</v>
      </c>
      <c r="I99" s="198">
        <v>0</v>
      </c>
      <c r="J99" s="198">
        <v>0</v>
      </c>
      <c r="K99" s="198">
        <v>0</v>
      </c>
      <c r="L99" s="198"/>
      <c r="M99" s="198">
        <v>0</v>
      </c>
      <c r="N99" s="198">
        <v>4793</v>
      </c>
      <c r="O99" s="200">
        <v>405</v>
      </c>
      <c r="P99" s="200">
        <v>0</v>
      </c>
      <c r="Q99" s="200">
        <v>0</v>
      </c>
      <c r="R99" s="200">
        <v>0</v>
      </c>
      <c r="S99" s="200">
        <v>0</v>
      </c>
      <c r="T99" s="200">
        <v>0</v>
      </c>
      <c r="U99" s="200">
        <v>0</v>
      </c>
      <c r="V99" s="181">
        <v>6337</v>
      </c>
      <c r="W99" s="181">
        <v>0</v>
      </c>
      <c r="X99" s="181">
        <f>V99+W99</f>
        <v>6337</v>
      </c>
    </row>
    <row r="100" spans="1:25" s="193" customFormat="1" ht="18" customHeight="1" x14ac:dyDescent="0.2">
      <c r="A100" s="188">
        <v>67</v>
      </c>
      <c r="B100" s="189" t="s">
        <v>186</v>
      </c>
      <c r="C100" s="190" t="s">
        <v>584</v>
      </c>
      <c r="D100" s="191" t="s">
        <v>576</v>
      </c>
      <c r="E100" s="192">
        <v>25027</v>
      </c>
      <c r="F100" s="192">
        <v>1</v>
      </c>
      <c r="G100" s="192">
        <v>0</v>
      </c>
      <c r="H100" s="192">
        <v>1</v>
      </c>
      <c r="I100" s="192">
        <v>0</v>
      </c>
      <c r="J100" s="192">
        <v>0</v>
      </c>
      <c r="K100" s="192">
        <v>0</v>
      </c>
      <c r="L100" s="192">
        <v>0</v>
      </c>
      <c r="M100" s="192">
        <v>0</v>
      </c>
      <c r="N100" s="192">
        <v>25026</v>
      </c>
      <c r="O100" s="192">
        <v>1409</v>
      </c>
      <c r="P100" s="192">
        <v>0</v>
      </c>
      <c r="Q100" s="192">
        <v>0</v>
      </c>
      <c r="R100" s="192">
        <v>0</v>
      </c>
      <c r="S100" s="192">
        <v>0</v>
      </c>
      <c r="T100" s="192">
        <v>0</v>
      </c>
      <c r="U100" s="192">
        <v>0</v>
      </c>
      <c r="V100" s="192">
        <v>26436</v>
      </c>
      <c r="W100" s="192">
        <v>1191</v>
      </c>
      <c r="X100" s="192">
        <f>SUM(X101:X102)</f>
        <v>27627</v>
      </c>
    </row>
    <row r="101" spans="1:25" x14ac:dyDescent="0.2">
      <c r="A101" s="195"/>
      <c r="B101" s="177"/>
      <c r="C101" s="194" t="s">
        <v>574</v>
      </c>
      <c r="D101" s="180" t="s">
        <v>567</v>
      </c>
      <c r="E101" s="181">
        <v>13470</v>
      </c>
      <c r="F101" s="181">
        <v>1</v>
      </c>
      <c r="G101" s="181">
        <v>0</v>
      </c>
      <c r="H101" s="181">
        <v>1</v>
      </c>
      <c r="I101" s="181">
        <v>0</v>
      </c>
      <c r="J101" s="181">
        <v>0</v>
      </c>
      <c r="K101" s="181">
        <v>0</v>
      </c>
      <c r="L101" s="181"/>
      <c r="M101" s="181">
        <v>0</v>
      </c>
      <c r="N101" s="181">
        <v>13469</v>
      </c>
      <c r="O101" s="180"/>
      <c r="P101" s="180"/>
      <c r="Q101" s="180"/>
      <c r="R101" s="180"/>
      <c r="S101" s="180"/>
      <c r="T101" s="180"/>
      <c r="U101" s="180"/>
      <c r="V101" s="181">
        <v>13470</v>
      </c>
      <c r="W101" s="181">
        <v>1191</v>
      </c>
      <c r="X101" s="181">
        <f>V101+W101</f>
        <v>14661</v>
      </c>
    </row>
    <row r="102" spans="1:25" x14ac:dyDescent="0.2">
      <c r="A102" s="195"/>
      <c r="B102" s="177"/>
      <c r="C102" s="194" t="s">
        <v>574</v>
      </c>
      <c r="D102" s="180" t="s">
        <v>576</v>
      </c>
      <c r="E102" s="181">
        <v>11557</v>
      </c>
      <c r="F102" s="181">
        <v>0</v>
      </c>
      <c r="G102" s="181">
        <v>0</v>
      </c>
      <c r="H102" s="181"/>
      <c r="I102" s="181">
        <v>0</v>
      </c>
      <c r="J102" s="181">
        <v>0</v>
      </c>
      <c r="K102" s="181">
        <v>0</v>
      </c>
      <c r="L102" s="181"/>
      <c r="M102" s="181">
        <v>0</v>
      </c>
      <c r="N102" s="181">
        <v>11557</v>
      </c>
      <c r="O102" s="201">
        <v>1409</v>
      </c>
      <c r="P102" s="201">
        <v>0</v>
      </c>
      <c r="Q102" s="201">
        <v>0</v>
      </c>
      <c r="R102" s="201">
        <v>0</v>
      </c>
      <c r="S102" s="201">
        <v>0</v>
      </c>
      <c r="T102" s="201">
        <v>0</v>
      </c>
      <c r="U102" s="201">
        <v>0</v>
      </c>
      <c r="V102" s="181">
        <v>12966</v>
      </c>
      <c r="W102" s="181">
        <v>0</v>
      </c>
      <c r="X102" s="181">
        <f>V102+W102</f>
        <v>12966</v>
      </c>
    </row>
    <row r="103" spans="1:25" s="193" customFormat="1" ht="18" customHeight="1" x14ac:dyDescent="0.2">
      <c r="A103" s="188">
        <v>68</v>
      </c>
      <c r="B103" s="202" t="s">
        <v>196</v>
      </c>
      <c r="C103" s="190" t="s">
        <v>197</v>
      </c>
      <c r="D103" s="191" t="s">
        <v>576</v>
      </c>
      <c r="E103" s="192">
        <v>11162</v>
      </c>
      <c r="F103" s="192">
        <v>0</v>
      </c>
      <c r="G103" s="192">
        <v>0</v>
      </c>
      <c r="H103" s="192">
        <v>0</v>
      </c>
      <c r="I103" s="192">
        <v>0</v>
      </c>
      <c r="J103" s="192">
        <v>0</v>
      </c>
      <c r="K103" s="192">
        <v>0</v>
      </c>
      <c r="L103" s="192">
        <v>0</v>
      </c>
      <c r="M103" s="192">
        <v>0</v>
      </c>
      <c r="N103" s="192">
        <v>11162</v>
      </c>
      <c r="O103" s="192">
        <v>100</v>
      </c>
      <c r="P103" s="192">
        <v>0</v>
      </c>
      <c r="Q103" s="192">
        <v>0</v>
      </c>
      <c r="R103" s="192">
        <v>0</v>
      </c>
      <c r="S103" s="192">
        <v>0</v>
      </c>
      <c r="T103" s="192">
        <v>0</v>
      </c>
      <c r="U103" s="192">
        <v>0</v>
      </c>
      <c r="V103" s="192">
        <v>11262</v>
      </c>
      <c r="W103" s="192">
        <v>0</v>
      </c>
      <c r="X103" s="192">
        <f>X104+X105</f>
        <v>11262</v>
      </c>
    </row>
    <row r="104" spans="1:25" x14ac:dyDescent="0.2">
      <c r="A104" s="195"/>
      <c r="B104" s="177"/>
      <c r="C104" s="194" t="s">
        <v>574</v>
      </c>
      <c r="D104" s="180" t="s">
        <v>566</v>
      </c>
      <c r="E104" s="181">
        <v>30</v>
      </c>
      <c r="F104" s="181">
        <v>0</v>
      </c>
      <c r="G104" s="181">
        <v>0</v>
      </c>
      <c r="H104" s="181"/>
      <c r="I104" s="181">
        <v>0</v>
      </c>
      <c r="J104" s="181">
        <v>0</v>
      </c>
      <c r="K104" s="181">
        <v>0</v>
      </c>
      <c r="L104" s="181"/>
      <c r="M104" s="181">
        <v>0</v>
      </c>
      <c r="N104" s="181">
        <v>30</v>
      </c>
      <c r="O104" s="180"/>
      <c r="P104" s="180"/>
      <c r="Q104" s="180"/>
      <c r="R104" s="180"/>
      <c r="S104" s="180"/>
      <c r="T104" s="180"/>
      <c r="U104" s="180"/>
      <c r="V104" s="181">
        <v>30</v>
      </c>
      <c r="W104" s="181">
        <v>0</v>
      </c>
      <c r="X104" s="181">
        <f>V104+W104</f>
        <v>30</v>
      </c>
    </row>
    <row r="105" spans="1:25" ht="15.75" customHeight="1" x14ac:dyDescent="0.2">
      <c r="A105" s="195"/>
      <c r="B105" s="177"/>
      <c r="C105" s="194" t="s">
        <v>574</v>
      </c>
      <c r="D105" s="195" t="s">
        <v>576</v>
      </c>
      <c r="E105" s="198">
        <v>11132</v>
      </c>
      <c r="F105" s="198">
        <v>0</v>
      </c>
      <c r="G105" s="198">
        <v>0</v>
      </c>
      <c r="H105" s="198"/>
      <c r="I105" s="198">
        <v>0</v>
      </c>
      <c r="J105" s="198">
        <v>0</v>
      </c>
      <c r="K105" s="198">
        <v>0</v>
      </c>
      <c r="L105" s="198"/>
      <c r="M105" s="198">
        <v>0</v>
      </c>
      <c r="N105" s="198">
        <v>11132</v>
      </c>
      <c r="O105" s="198">
        <v>100</v>
      </c>
      <c r="P105" s="198">
        <v>0</v>
      </c>
      <c r="Q105" s="198">
        <v>0</v>
      </c>
      <c r="R105" s="198">
        <v>0</v>
      </c>
      <c r="S105" s="198">
        <v>0</v>
      </c>
      <c r="T105" s="198">
        <v>0</v>
      </c>
      <c r="U105" s="198">
        <v>0</v>
      </c>
      <c r="V105" s="203">
        <v>11232</v>
      </c>
      <c r="W105" s="181">
        <v>0</v>
      </c>
      <c r="X105" s="181">
        <f>V105+W105</f>
        <v>11232</v>
      </c>
    </row>
    <row r="106" spans="1:25" s="193" customFormat="1" ht="18" customHeight="1" x14ac:dyDescent="0.2">
      <c r="A106" s="188">
        <v>69</v>
      </c>
      <c r="B106" s="196" t="s">
        <v>22</v>
      </c>
      <c r="C106" s="190" t="s">
        <v>585</v>
      </c>
      <c r="D106" s="191" t="s">
        <v>576</v>
      </c>
      <c r="E106" s="192">
        <v>11227</v>
      </c>
      <c r="F106" s="192">
        <v>1</v>
      </c>
      <c r="G106" s="192">
        <v>0</v>
      </c>
      <c r="H106" s="192">
        <v>1</v>
      </c>
      <c r="I106" s="192">
        <v>176</v>
      </c>
      <c r="J106" s="192">
        <v>0</v>
      </c>
      <c r="K106" s="192">
        <v>84</v>
      </c>
      <c r="L106" s="192">
        <v>0</v>
      </c>
      <c r="M106" s="192">
        <v>0</v>
      </c>
      <c r="N106" s="192">
        <v>10966</v>
      </c>
      <c r="O106" s="192">
        <v>97</v>
      </c>
      <c r="P106" s="192">
        <v>0</v>
      </c>
      <c r="Q106" s="192">
        <v>2</v>
      </c>
      <c r="R106" s="192">
        <v>0</v>
      </c>
      <c r="S106" s="192">
        <v>0</v>
      </c>
      <c r="T106" s="192">
        <v>0</v>
      </c>
      <c r="U106" s="192">
        <v>0</v>
      </c>
      <c r="V106" s="192">
        <v>11324</v>
      </c>
      <c r="W106" s="192">
        <v>240</v>
      </c>
      <c r="X106" s="192">
        <f>X107+X108</f>
        <v>11564</v>
      </c>
    </row>
    <row r="107" spans="1:25" x14ac:dyDescent="0.2">
      <c r="A107" s="195"/>
      <c r="B107" s="177"/>
      <c r="C107" s="194" t="s">
        <v>574</v>
      </c>
      <c r="D107" s="180" t="s">
        <v>567</v>
      </c>
      <c r="E107" s="181">
        <v>9673</v>
      </c>
      <c r="F107" s="181">
        <v>1</v>
      </c>
      <c r="G107" s="181">
        <v>0</v>
      </c>
      <c r="H107" s="181">
        <v>1</v>
      </c>
      <c r="I107" s="181">
        <v>176</v>
      </c>
      <c r="J107" s="181">
        <v>0</v>
      </c>
      <c r="K107" s="181">
        <v>0</v>
      </c>
      <c r="L107" s="181"/>
      <c r="M107" s="181">
        <v>0</v>
      </c>
      <c r="N107" s="181">
        <v>9496</v>
      </c>
      <c r="O107" s="180"/>
      <c r="P107" s="180"/>
      <c r="Q107" s="180"/>
      <c r="R107" s="180"/>
      <c r="S107" s="180"/>
      <c r="T107" s="180"/>
      <c r="U107" s="180"/>
      <c r="V107" s="181">
        <v>9673</v>
      </c>
      <c r="W107" s="181">
        <v>240</v>
      </c>
      <c r="X107" s="181">
        <f>V107+W107</f>
        <v>9913</v>
      </c>
    </row>
    <row r="108" spans="1:25" x14ac:dyDescent="0.2">
      <c r="A108" s="195"/>
      <c r="B108" s="177"/>
      <c r="C108" s="194" t="s">
        <v>574</v>
      </c>
      <c r="D108" s="195" t="s">
        <v>576</v>
      </c>
      <c r="E108" s="198">
        <v>1554</v>
      </c>
      <c r="F108" s="198">
        <v>0</v>
      </c>
      <c r="G108" s="198">
        <v>0</v>
      </c>
      <c r="H108" s="198"/>
      <c r="I108" s="198">
        <v>0</v>
      </c>
      <c r="J108" s="198">
        <v>0</v>
      </c>
      <c r="K108" s="198">
        <v>84</v>
      </c>
      <c r="L108" s="198"/>
      <c r="M108" s="198">
        <v>0</v>
      </c>
      <c r="N108" s="198">
        <v>1470</v>
      </c>
      <c r="O108" s="200">
        <v>97</v>
      </c>
      <c r="P108" s="200">
        <v>0</v>
      </c>
      <c r="Q108" s="200">
        <v>2</v>
      </c>
      <c r="R108" s="200">
        <v>0</v>
      </c>
      <c r="S108" s="200">
        <v>0</v>
      </c>
      <c r="T108" s="200">
        <v>0</v>
      </c>
      <c r="U108" s="200">
        <v>0</v>
      </c>
      <c r="V108" s="200">
        <v>1651</v>
      </c>
      <c r="W108" s="181">
        <v>0</v>
      </c>
      <c r="X108" s="181">
        <f>V108+W108</f>
        <v>1651</v>
      </c>
    </row>
    <row r="109" spans="1:25" s="193" customFormat="1" ht="18" customHeight="1" x14ac:dyDescent="0.2">
      <c r="A109" s="188">
        <v>70</v>
      </c>
      <c r="B109" s="189" t="s">
        <v>268</v>
      </c>
      <c r="C109" s="190" t="s">
        <v>586</v>
      </c>
      <c r="D109" s="191" t="s">
        <v>587</v>
      </c>
      <c r="E109" s="192">
        <v>30189</v>
      </c>
      <c r="F109" s="192">
        <v>28708</v>
      </c>
      <c r="G109" s="192">
        <v>27893</v>
      </c>
      <c r="H109" s="192">
        <v>815</v>
      </c>
      <c r="I109" s="192">
        <v>0</v>
      </c>
      <c r="J109" s="192">
        <v>0</v>
      </c>
      <c r="K109" s="192">
        <v>0</v>
      </c>
      <c r="L109" s="192">
        <v>0</v>
      </c>
      <c r="M109" s="192">
        <v>0</v>
      </c>
      <c r="N109" s="192">
        <v>1481</v>
      </c>
      <c r="O109" s="192">
        <v>1971</v>
      </c>
      <c r="P109" s="192">
        <v>1871</v>
      </c>
      <c r="Q109" s="192">
        <v>0</v>
      </c>
      <c r="R109" s="192">
        <v>0</v>
      </c>
      <c r="S109" s="192">
        <v>0</v>
      </c>
      <c r="T109" s="192">
        <v>0</v>
      </c>
      <c r="U109" s="192">
        <v>0</v>
      </c>
      <c r="V109" s="192">
        <v>32160</v>
      </c>
      <c r="W109" s="192">
        <v>266</v>
      </c>
      <c r="X109" s="192">
        <f>X110+X111</f>
        <v>32426</v>
      </c>
      <c r="Y109" s="197"/>
    </row>
    <row r="110" spans="1:25" x14ac:dyDescent="0.2">
      <c r="A110" s="195"/>
      <c r="B110" s="177"/>
      <c r="C110" s="194" t="s">
        <v>574</v>
      </c>
      <c r="D110" s="180" t="s">
        <v>566</v>
      </c>
      <c r="E110" s="181">
        <v>6533</v>
      </c>
      <c r="F110" s="181">
        <v>6530</v>
      </c>
      <c r="G110" s="181">
        <v>6528</v>
      </c>
      <c r="H110" s="181">
        <v>2</v>
      </c>
      <c r="I110" s="181">
        <v>0</v>
      </c>
      <c r="J110" s="181">
        <v>0</v>
      </c>
      <c r="K110" s="181">
        <v>0</v>
      </c>
      <c r="L110" s="181"/>
      <c r="M110" s="181">
        <v>0</v>
      </c>
      <c r="N110" s="181">
        <v>3</v>
      </c>
      <c r="O110" s="180"/>
      <c r="P110" s="180"/>
      <c r="Q110" s="180"/>
      <c r="R110" s="180"/>
      <c r="S110" s="180"/>
      <c r="T110" s="180"/>
      <c r="U110" s="180"/>
      <c r="V110" s="181">
        <v>6533</v>
      </c>
      <c r="W110" s="181">
        <v>266</v>
      </c>
      <c r="X110" s="181">
        <f>V110+W110</f>
        <v>6799</v>
      </c>
    </row>
    <row r="111" spans="1:25" x14ac:dyDescent="0.2">
      <c r="A111" s="195"/>
      <c r="B111" s="177"/>
      <c r="C111" s="194" t="s">
        <v>574</v>
      </c>
      <c r="D111" s="195" t="s">
        <v>587</v>
      </c>
      <c r="E111" s="198">
        <v>23656</v>
      </c>
      <c r="F111" s="198">
        <v>22178</v>
      </c>
      <c r="G111" s="198">
        <v>21365</v>
      </c>
      <c r="H111" s="198">
        <v>813</v>
      </c>
      <c r="I111" s="198">
        <v>0</v>
      </c>
      <c r="J111" s="198">
        <v>0</v>
      </c>
      <c r="K111" s="198">
        <v>0</v>
      </c>
      <c r="L111" s="198"/>
      <c r="M111" s="198">
        <v>0</v>
      </c>
      <c r="N111" s="198">
        <v>1478</v>
      </c>
      <c r="O111" s="181">
        <v>1971</v>
      </c>
      <c r="P111" s="181">
        <v>1871</v>
      </c>
      <c r="Q111" s="181">
        <v>0</v>
      </c>
      <c r="R111" s="181">
        <v>0</v>
      </c>
      <c r="S111" s="181">
        <v>0</v>
      </c>
      <c r="T111" s="181">
        <v>0</v>
      </c>
      <c r="U111" s="181">
        <v>0</v>
      </c>
      <c r="V111" s="181">
        <v>25627</v>
      </c>
      <c r="W111" s="181">
        <v>0</v>
      </c>
      <c r="X111" s="181">
        <f>V111+W111</f>
        <v>25627</v>
      </c>
    </row>
    <row r="112" spans="1:25" s="193" customFormat="1" ht="18" customHeight="1" x14ac:dyDescent="0.2">
      <c r="A112" s="188">
        <v>71</v>
      </c>
      <c r="B112" s="189" t="s">
        <v>270</v>
      </c>
      <c r="C112" s="190" t="s">
        <v>588</v>
      </c>
      <c r="D112" s="191" t="s">
        <v>587</v>
      </c>
      <c r="E112" s="192">
        <v>13164</v>
      </c>
      <c r="F112" s="192">
        <v>0</v>
      </c>
      <c r="G112" s="192">
        <v>0</v>
      </c>
      <c r="H112" s="192">
        <v>0</v>
      </c>
      <c r="I112" s="192">
        <v>0</v>
      </c>
      <c r="J112" s="192">
        <v>0</v>
      </c>
      <c r="K112" s="192">
        <v>2117</v>
      </c>
      <c r="L112" s="192">
        <v>350</v>
      </c>
      <c r="M112" s="192">
        <v>315</v>
      </c>
      <c r="N112" s="192">
        <v>10382</v>
      </c>
      <c r="O112" s="192">
        <v>3632</v>
      </c>
      <c r="P112" s="192">
        <v>0</v>
      </c>
      <c r="Q112" s="192">
        <v>1023</v>
      </c>
      <c r="R112" s="192">
        <v>1193</v>
      </c>
      <c r="S112" s="192">
        <v>725</v>
      </c>
      <c r="T112" s="192">
        <v>0</v>
      </c>
      <c r="U112" s="192">
        <v>0</v>
      </c>
      <c r="V112" s="192">
        <v>16796</v>
      </c>
      <c r="W112" s="192">
        <v>1002</v>
      </c>
      <c r="X112" s="192">
        <f t="shared" ref="X112" si="2">X113+X114</f>
        <v>17798</v>
      </c>
    </row>
    <row r="113" spans="1:24" x14ac:dyDescent="0.2">
      <c r="A113" s="195"/>
      <c r="B113" s="177"/>
      <c r="C113" s="194" t="s">
        <v>574</v>
      </c>
      <c r="D113" s="180" t="s">
        <v>566</v>
      </c>
      <c r="E113" s="181">
        <v>221</v>
      </c>
      <c r="F113" s="181">
        <v>0</v>
      </c>
      <c r="G113" s="181">
        <v>0</v>
      </c>
      <c r="H113" s="181"/>
      <c r="I113" s="181">
        <v>0</v>
      </c>
      <c r="J113" s="181">
        <v>0</v>
      </c>
      <c r="K113" s="181">
        <v>0</v>
      </c>
      <c r="L113" s="181"/>
      <c r="M113" s="181">
        <v>0</v>
      </c>
      <c r="N113" s="181">
        <v>221</v>
      </c>
      <c r="O113" s="180"/>
      <c r="P113" s="180"/>
      <c r="Q113" s="180"/>
      <c r="R113" s="180"/>
      <c r="S113" s="180"/>
      <c r="T113" s="180"/>
      <c r="U113" s="180"/>
      <c r="V113" s="181">
        <v>221</v>
      </c>
      <c r="W113" s="181">
        <v>1002</v>
      </c>
      <c r="X113" s="181">
        <f>V113+W113</f>
        <v>1223</v>
      </c>
    </row>
    <row r="114" spans="1:24" x14ac:dyDescent="0.2">
      <c r="A114" s="195"/>
      <c r="B114" s="177"/>
      <c r="C114" s="194" t="s">
        <v>574</v>
      </c>
      <c r="D114" s="199" t="s">
        <v>587</v>
      </c>
      <c r="E114" s="198">
        <v>12943</v>
      </c>
      <c r="F114" s="198">
        <v>0</v>
      </c>
      <c r="G114" s="198">
        <v>0</v>
      </c>
      <c r="H114" s="198"/>
      <c r="I114" s="198">
        <v>0</v>
      </c>
      <c r="J114" s="198">
        <v>0</v>
      </c>
      <c r="K114" s="198">
        <v>2117</v>
      </c>
      <c r="L114" s="198">
        <v>350</v>
      </c>
      <c r="M114" s="198">
        <v>315</v>
      </c>
      <c r="N114" s="198">
        <v>10161</v>
      </c>
      <c r="O114" s="181">
        <v>3632</v>
      </c>
      <c r="P114" s="181">
        <v>0</v>
      </c>
      <c r="Q114" s="181">
        <v>1023</v>
      </c>
      <c r="R114" s="181">
        <v>1193</v>
      </c>
      <c r="S114" s="181">
        <v>725</v>
      </c>
      <c r="T114" s="181">
        <v>0</v>
      </c>
      <c r="U114" s="181">
        <v>0</v>
      </c>
      <c r="V114" s="181">
        <v>16575</v>
      </c>
      <c r="W114" s="181">
        <v>0</v>
      </c>
      <c r="X114" s="181">
        <f>V114+W114</f>
        <v>16575</v>
      </c>
    </row>
    <row r="115" spans="1:24" s="193" customFormat="1" ht="18" customHeight="1" x14ac:dyDescent="0.2">
      <c r="A115" s="188">
        <v>72</v>
      </c>
      <c r="B115" s="202" t="s">
        <v>274</v>
      </c>
      <c r="C115" s="190" t="s">
        <v>275</v>
      </c>
      <c r="D115" s="191" t="s">
        <v>589</v>
      </c>
      <c r="E115" s="192">
        <v>6645</v>
      </c>
      <c r="F115" s="192">
        <v>0</v>
      </c>
      <c r="G115" s="192">
        <v>0</v>
      </c>
      <c r="H115" s="192">
        <v>0</v>
      </c>
      <c r="I115" s="192">
        <v>0</v>
      </c>
      <c r="J115" s="192">
        <v>0</v>
      </c>
      <c r="K115" s="192">
        <v>0</v>
      </c>
      <c r="L115" s="192">
        <v>0</v>
      </c>
      <c r="M115" s="192">
        <v>0</v>
      </c>
      <c r="N115" s="192">
        <v>6645</v>
      </c>
      <c r="O115" s="192">
        <v>52</v>
      </c>
      <c r="P115" s="192">
        <v>0</v>
      </c>
      <c r="Q115" s="192">
        <v>0</v>
      </c>
      <c r="R115" s="192">
        <v>0</v>
      </c>
      <c r="S115" s="192">
        <v>0</v>
      </c>
      <c r="T115" s="192">
        <v>0</v>
      </c>
      <c r="U115" s="192">
        <v>0</v>
      </c>
      <c r="V115" s="192">
        <v>6697</v>
      </c>
      <c r="W115" s="192">
        <v>0</v>
      </c>
      <c r="X115" s="192">
        <f>X116+X117</f>
        <v>6697</v>
      </c>
    </row>
    <row r="116" spans="1:24" x14ac:dyDescent="0.2">
      <c r="A116" s="195"/>
      <c r="B116" s="177"/>
      <c r="C116" s="194" t="s">
        <v>574</v>
      </c>
      <c r="D116" s="180" t="s">
        <v>566</v>
      </c>
      <c r="E116" s="181">
        <v>3310</v>
      </c>
      <c r="F116" s="181">
        <v>0</v>
      </c>
      <c r="G116" s="181">
        <v>0</v>
      </c>
      <c r="H116" s="181"/>
      <c r="I116" s="181">
        <v>0</v>
      </c>
      <c r="J116" s="181">
        <v>0</v>
      </c>
      <c r="K116" s="181">
        <v>0</v>
      </c>
      <c r="L116" s="181"/>
      <c r="M116" s="181">
        <v>0</v>
      </c>
      <c r="N116" s="181">
        <v>3310</v>
      </c>
      <c r="O116" s="180"/>
      <c r="P116" s="180"/>
      <c r="Q116" s="180"/>
      <c r="R116" s="180"/>
      <c r="S116" s="180"/>
      <c r="T116" s="180"/>
      <c r="U116" s="180"/>
      <c r="V116" s="181">
        <v>3310</v>
      </c>
      <c r="W116" s="181">
        <v>0</v>
      </c>
      <c r="X116" s="181">
        <f>V116+W116</f>
        <v>3310</v>
      </c>
    </row>
    <row r="117" spans="1:24" x14ac:dyDescent="0.2">
      <c r="A117" s="195"/>
      <c r="B117" s="177"/>
      <c r="C117" s="194" t="s">
        <v>574</v>
      </c>
      <c r="D117" s="199" t="s">
        <v>587</v>
      </c>
      <c r="E117" s="198">
        <v>3335</v>
      </c>
      <c r="F117" s="198">
        <v>0</v>
      </c>
      <c r="G117" s="198">
        <v>0</v>
      </c>
      <c r="H117" s="198"/>
      <c r="I117" s="198">
        <v>0</v>
      </c>
      <c r="J117" s="198">
        <v>0</v>
      </c>
      <c r="K117" s="198">
        <v>0</v>
      </c>
      <c r="L117" s="198"/>
      <c r="M117" s="198">
        <v>0</v>
      </c>
      <c r="N117" s="198">
        <v>3335</v>
      </c>
      <c r="O117" s="181">
        <v>52</v>
      </c>
      <c r="P117" s="181">
        <v>0</v>
      </c>
      <c r="Q117" s="181">
        <v>0</v>
      </c>
      <c r="R117" s="181">
        <v>0</v>
      </c>
      <c r="S117" s="181">
        <v>0</v>
      </c>
      <c r="T117" s="181">
        <v>0</v>
      </c>
      <c r="U117" s="181">
        <v>0</v>
      </c>
      <c r="V117" s="181">
        <v>3387</v>
      </c>
      <c r="W117" s="181">
        <v>0</v>
      </c>
      <c r="X117" s="181">
        <f>V117+W117</f>
        <v>3387</v>
      </c>
    </row>
    <row r="118" spans="1:24" s="193" customFormat="1" ht="18" customHeight="1" x14ac:dyDescent="0.2">
      <c r="A118" s="188">
        <v>73</v>
      </c>
      <c r="B118" s="202" t="s">
        <v>276</v>
      </c>
      <c r="C118" s="190" t="s">
        <v>590</v>
      </c>
      <c r="D118" s="191" t="s">
        <v>587</v>
      </c>
      <c r="E118" s="192">
        <v>22663</v>
      </c>
      <c r="F118" s="192">
        <v>0</v>
      </c>
      <c r="G118" s="192">
        <v>0</v>
      </c>
      <c r="H118" s="192">
        <v>0</v>
      </c>
      <c r="I118" s="192">
        <v>0</v>
      </c>
      <c r="J118" s="192">
        <v>0</v>
      </c>
      <c r="K118" s="192">
        <v>0</v>
      </c>
      <c r="L118" s="192">
        <v>0</v>
      </c>
      <c r="M118" s="192">
        <v>0</v>
      </c>
      <c r="N118" s="192">
        <v>22663</v>
      </c>
      <c r="O118" s="192">
        <v>905</v>
      </c>
      <c r="P118" s="192">
        <v>0</v>
      </c>
      <c r="Q118" s="192">
        <v>0</v>
      </c>
      <c r="R118" s="192">
        <v>0</v>
      </c>
      <c r="S118" s="192">
        <v>0</v>
      </c>
      <c r="T118" s="192">
        <v>0</v>
      </c>
      <c r="U118" s="192">
        <v>0</v>
      </c>
      <c r="V118" s="192">
        <v>23568</v>
      </c>
      <c r="W118" s="192">
        <v>0</v>
      </c>
      <c r="X118" s="192">
        <f>X119+X120</f>
        <v>23568</v>
      </c>
    </row>
    <row r="119" spans="1:24" ht="15" customHeight="1" x14ac:dyDescent="0.2">
      <c r="A119" s="195"/>
      <c r="B119" s="177"/>
      <c r="C119" s="194" t="s">
        <v>574</v>
      </c>
      <c r="D119" s="180" t="s">
        <v>566</v>
      </c>
      <c r="E119" s="181">
        <v>180</v>
      </c>
      <c r="F119" s="181">
        <v>0</v>
      </c>
      <c r="G119" s="181">
        <v>0</v>
      </c>
      <c r="H119" s="181"/>
      <c r="I119" s="181">
        <v>0</v>
      </c>
      <c r="J119" s="181">
        <v>0</v>
      </c>
      <c r="K119" s="181">
        <v>0</v>
      </c>
      <c r="L119" s="181"/>
      <c r="M119" s="181">
        <v>0</v>
      </c>
      <c r="N119" s="181">
        <v>180</v>
      </c>
      <c r="O119" s="180"/>
      <c r="P119" s="180"/>
      <c r="Q119" s="180"/>
      <c r="R119" s="180"/>
      <c r="S119" s="180"/>
      <c r="T119" s="180"/>
      <c r="U119" s="180"/>
      <c r="V119" s="181">
        <v>180</v>
      </c>
      <c r="W119" s="181">
        <v>0</v>
      </c>
      <c r="X119" s="181">
        <f>V119+W119</f>
        <v>180</v>
      </c>
    </row>
    <row r="120" spans="1:24" ht="15" customHeight="1" x14ac:dyDescent="0.2">
      <c r="A120" s="195"/>
      <c r="B120" s="177"/>
      <c r="C120" s="194" t="s">
        <v>574</v>
      </c>
      <c r="D120" s="195" t="s">
        <v>587</v>
      </c>
      <c r="E120" s="198">
        <v>22483</v>
      </c>
      <c r="F120" s="198">
        <v>0</v>
      </c>
      <c r="G120" s="198">
        <v>0</v>
      </c>
      <c r="H120" s="198"/>
      <c r="I120" s="198">
        <v>0</v>
      </c>
      <c r="J120" s="198">
        <v>0</v>
      </c>
      <c r="K120" s="198">
        <v>0</v>
      </c>
      <c r="L120" s="198"/>
      <c r="M120" s="198">
        <v>0</v>
      </c>
      <c r="N120" s="198">
        <v>22483</v>
      </c>
      <c r="O120" s="200">
        <v>905</v>
      </c>
      <c r="P120" s="200">
        <v>0</v>
      </c>
      <c r="Q120" s="200">
        <v>0</v>
      </c>
      <c r="R120" s="200">
        <v>0</v>
      </c>
      <c r="S120" s="200">
        <v>0</v>
      </c>
      <c r="T120" s="200">
        <v>0</v>
      </c>
      <c r="U120" s="200">
        <v>0</v>
      </c>
      <c r="V120" s="181">
        <v>23388</v>
      </c>
      <c r="W120" s="181">
        <v>0</v>
      </c>
      <c r="X120" s="181">
        <f>V120+W120</f>
        <v>23388</v>
      </c>
    </row>
    <row r="121" spans="1:24" s="193" customFormat="1" ht="18" customHeight="1" x14ac:dyDescent="0.2">
      <c r="A121" s="188">
        <v>74</v>
      </c>
      <c r="B121" s="202" t="s">
        <v>283</v>
      </c>
      <c r="C121" s="190" t="s">
        <v>591</v>
      </c>
      <c r="D121" s="191" t="s">
        <v>587</v>
      </c>
      <c r="E121" s="192">
        <v>23767</v>
      </c>
      <c r="F121" s="192">
        <v>30</v>
      </c>
      <c r="G121" s="192">
        <v>0</v>
      </c>
      <c r="H121" s="192">
        <v>30</v>
      </c>
      <c r="I121" s="192">
        <v>0</v>
      </c>
      <c r="J121" s="192">
        <v>6</v>
      </c>
      <c r="K121" s="192">
        <v>741</v>
      </c>
      <c r="L121" s="192">
        <v>0</v>
      </c>
      <c r="M121" s="192">
        <v>228</v>
      </c>
      <c r="N121" s="192">
        <v>22762</v>
      </c>
      <c r="O121" s="192">
        <v>809</v>
      </c>
      <c r="P121" s="192">
        <v>0</v>
      </c>
      <c r="Q121" s="192">
        <v>5</v>
      </c>
      <c r="R121" s="192">
        <v>0</v>
      </c>
      <c r="S121" s="192">
        <v>0</v>
      </c>
      <c r="T121" s="192">
        <v>468</v>
      </c>
      <c r="U121" s="192">
        <v>0</v>
      </c>
      <c r="V121" s="192">
        <v>24576</v>
      </c>
      <c r="W121" s="192">
        <v>1524</v>
      </c>
      <c r="X121" s="192">
        <f t="shared" ref="X121" si="3">X122+X123</f>
        <v>26100</v>
      </c>
    </row>
    <row r="122" spans="1:24" x14ac:dyDescent="0.2">
      <c r="A122" s="195"/>
      <c r="B122" s="177"/>
      <c r="C122" s="194" t="s">
        <v>574</v>
      </c>
      <c r="D122" s="180" t="s">
        <v>566</v>
      </c>
      <c r="E122" s="181">
        <v>8737</v>
      </c>
      <c r="F122" s="181">
        <v>30</v>
      </c>
      <c r="G122" s="181">
        <v>0</v>
      </c>
      <c r="H122" s="181">
        <v>30</v>
      </c>
      <c r="I122" s="181">
        <v>0</v>
      </c>
      <c r="J122" s="181">
        <v>6</v>
      </c>
      <c r="K122" s="181">
        <v>0</v>
      </c>
      <c r="L122" s="181"/>
      <c r="M122" s="181">
        <v>0</v>
      </c>
      <c r="N122" s="181">
        <v>8701</v>
      </c>
      <c r="O122" s="180"/>
      <c r="P122" s="180"/>
      <c r="Q122" s="180"/>
      <c r="R122" s="180"/>
      <c r="S122" s="180"/>
      <c r="T122" s="180"/>
      <c r="U122" s="180"/>
      <c r="V122" s="181">
        <v>8737</v>
      </c>
      <c r="W122" s="181">
        <v>1524</v>
      </c>
      <c r="X122" s="181">
        <f>V122+W122</f>
        <v>10261</v>
      </c>
    </row>
    <row r="123" spans="1:24" ht="15.75" customHeight="1" x14ac:dyDescent="0.2">
      <c r="A123" s="195"/>
      <c r="B123" s="177"/>
      <c r="C123" s="194" t="s">
        <v>574</v>
      </c>
      <c r="D123" s="199" t="s">
        <v>587</v>
      </c>
      <c r="E123" s="198">
        <v>15030</v>
      </c>
      <c r="F123" s="198">
        <v>0</v>
      </c>
      <c r="G123" s="198">
        <v>0</v>
      </c>
      <c r="H123" s="198"/>
      <c r="I123" s="198">
        <v>0</v>
      </c>
      <c r="J123" s="198">
        <v>0</v>
      </c>
      <c r="K123" s="198">
        <v>741</v>
      </c>
      <c r="L123" s="198"/>
      <c r="M123" s="198">
        <v>228</v>
      </c>
      <c r="N123" s="198">
        <v>14061</v>
      </c>
      <c r="O123" s="200">
        <v>809</v>
      </c>
      <c r="P123" s="200">
        <v>0</v>
      </c>
      <c r="Q123" s="200">
        <v>5</v>
      </c>
      <c r="R123" s="200">
        <v>0</v>
      </c>
      <c r="S123" s="200">
        <v>0</v>
      </c>
      <c r="T123" s="200">
        <v>468</v>
      </c>
      <c r="U123" s="200">
        <v>0</v>
      </c>
      <c r="V123" s="181">
        <v>15839</v>
      </c>
      <c r="W123" s="181">
        <v>0</v>
      </c>
      <c r="X123" s="181">
        <f>V123+W123</f>
        <v>15839</v>
      </c>
    </row>
    <row r="124" spans="1:24" s="193" customFormat="1" ht="18" customHeight="1" x14ac:dyDescent="0.2">
      <c r="A124" s="188">
        <v>75</v>
      </c>
      <c r="B124" s="202" t="s">
        <v>192</v>
      </c>
      <c r="C124" s="190" t="s">
        <v>592</v>
      </c>
      <c r="D124" s="191" t="s">
        <v>587</v>
      </c>
      <c r="E124" s="192">
        <v>11005</v>
      </c>
      <c r="F124" s="192">
        <v>0</v>
      </c>
      <c r="G124" s="192">
        <v>0</v>
      </c>
      <c r="H124" s="192">
        <v>0</v>
      </c>
      <c r="I124" s="192">
        <v>0</v>
      </c>
      <c r="J124" s="192">
        <v>0</v>
      </c>
      <c r="K124" s="192">
        <v>0</v>
      </c>
      <c r="L124" s="192">
        <v>0</v>
      </c>
      <c r="M124" s="192">
        <v>0</v>
      </c>
      <c r="N124" s="192">
        <v>11005</v>
      </c>
      <c r="O124" s="192">
        <v>440</v>
      </c>
      <c r="P124" s="192">
        <v>0</v>
      </c>
      <c r="Q124" s="192">
        <v>0</v>
      </c>
      <c r="R124" s="192">
        <v>0</v>
      </c>
      <c r="S124" s="192">
        <v>0</v>
      </c>
      <c r="T124" s="192">
        <v>0</v>
      </c>
      <c r="U124" s="192">
        <v>0</v>
      </c>
      <c r="V124" s="192">
        <v>11445</v>
      </c>
      <c r="W124" s="192">
        <v>3088</v>
      </c>
      <c r="X124" s="192">
        <f>X125+X126</f>
        <v>14533</v>
      </c>
    </row>
    <row r="125" spans="1:24" x14ac:dyDescent="0.2">
      <c r="A125" s="195"/>
      <c r="B125" s="177"/>
      <c r="C125" s="194" t="s">
        <v>574</v>
      </c>
      <c r="D125" s="180" t="s">
        <v>566</v>
      </c>
      <c r="E125" s="181">
        <v>0</v>
      </c>
      <c r="F125" s="181">
        <v>0</v>
      </c>
      <c r="G125" s="181">
        <v>0</v>
      </c>
      <c r="H125" s="181"/>
      <c r="I125" s="181">
        <v>0</v>
      </c>
      <c r="J125" s="181">
        <v>0</v>
      </c>
      <c r="K125" s="181">
        <v>0</v>
      </c>
      <c r="L125" s="181"/>
      <c r="M125" s="181">
        <v>0</v>
      </c>
      <c r="N125" s="181">
        <v>0</v>
      </c>
      <c r="O125" s="180"/>
      <c r="P125" s="180"/>
      <c r="Q125" s="180"/>
      <c r="R125" s="180"/>
      <c r="S125" s="180"/>
      <c r="T125" s="180"/>
      <c r="U125" s="180"/>
      <c r="V125" s="181">
        <v>0</v>
      </c>
      <c r="W125" s="181">
        <v>3088</v>
      </c>
      <c r="X125" s="181">
        <f>V125+W125</f>
        <v>3088</v>
      </c>
    </row>
    <row r="126" spans="1:24" x14ac:dyDescent="0.2">
      <c r="A126" s="195"/>
      <c r="B126" s="177"/>
      <c r="C126" s="194" t="s">
        <v>574</v>
      </c>
      <c r="D126" s="195" t="s">
        <v>587</v>
      </c>
      <c r="E126" s="198">
        <v>11005</v>
      </c>
      <c r="F126" s="198">
        <v>0</v>
      </c>
      <c r="G126" s="198">
        <v>0</v>
      </c>
      <c r="H126" s="198"/>
      <c r="I126" s="198">
        <v>0</v>
      </c>
      <c r="J126" s="198">
        <v>0</v>
      </c>
      <c r="K126" s="198">
        <v>0</v>
      </c>
      <c r="L126" s="198"/>
      <c r="M126" s="198">
        <v>0</v>
      </c>
      <c r="N126" s="198">
        <v>11005</v>
      </c>
      <c r="O126" s="200">
        <v>440</v>
      </c>
      <c r="P126" s="200">
        <v>0</v>
      </c>
      <c r="Q126" s="200">
        <v>0</v>
      </c>
      <c r="R126" s="200">
        <v>0</v>
      </c>
      <c r="S126" s="200">
        <v>0</v>
      </c>
      <c r="T126" s="200">
        <v>0</v>
      </c>
      <c r="U126" s="200">
        <v>0</v>
      </c>
      <c r="V126" s="181">
        <v>11445</v>
      </c>
      <c r="W126" s="181">
        <v>0</v>
      </c>
      <c r="X126" s="181">
        <f>V126+W126</f>
        <v>11445</v>
      </c>
    </row>
    <row r="127" spans="1:24" s="193" customFormat="1" ht="18" customHeight="1" x14ac:dyDescent="0.2">
      <c r="A127" s="188">
        <v>76</v>
      </c>
      <c r="B127" s="202" t="s">
        <v>194</v>
      </c>
      <c r="C127" s="190" t="s">
        <v>593</v>
      </c>
      <c r="D127" s="191" t="s">
        <v>587</v>
      </c>
      <c r="E127" s="192">
        <v>11712</v>
      </c>
      <c r="F127" s="192">
        <v>2</v>
      </c>
      <c r="G127" s="192">
        <v>0</v>
      </c>
      <c r="H127" s="192">
        <v>2</v>
      </c>
      <c r="I127" s="192">
        <v>206</v>
      </c>
      <c r="J127" s="192">
        <v>4</v>
      </c>
      <c r="K127" s="192">
        <v>556</v>
      </c>
      <c r="L127" s="192">
        <v>15</v>
      </c>
      <c r="M127" s="192">
        <v>0</v>
      </c>
      <c r="N127" s="192">
        <v>10929</v>
      </c>
      <c r="O127" s="192">
        <v>605</v>
      </c>
      <c r="P127" s="192">
        <v>0</v>
      </c>
      <c r="Q127" s="192">
        <v>80</v>
      </c>
      <c r="R127" s="192">
        <v>38</v>
      </c>
      <c r="S127" s="192">
        <v>0</v>
      </c>
      <c r="T127" s="192">
        <v>0</v>
      </c>
      <c r="U127" s="192">
        <v>0</v>
      </c>
      <c r="V127" s="192">
        <v>12317</v>
      </c>
      <c r="W127" s="192">
        <v>1450</v>
      </c>
      <c r="X127" s="192">
        <f>X128+X129</f>
        <v>13767</v>
      </c>
    </row>
    <row r="128" spans="1:24" x14ac:dyDescent="0.2">
      <c r="A128" s="195"/>
      <c r="B128" s="177"/>
      <c r="C128" s="194" t="s">
        <v>574</v>
      </c>
      <c r="D128" s="180" t="s">
        <v>566</v>
      </c>
      <c r="E128" s="181">
        <v>4437</v>
      </c>
      <c r="F128" s="181">
        <v>2</v>
      </c>
      <c r="G128" s="181">
        <v>0</v>
      </c>
      <c r="H128" s="181">
        <v>2</v>
      </c>
      <c r="I128" s="181">
        <v>206</v>
      </c>
      <c r="J128" s="181">
        <v>4</v>
      </c>
      <c r="K128" s="181">
        <v>0</v>
      </c>
      <c r="L128" s="181"/>
      <c r="M128" s="181">
        <v>0</v>
      </c>
      <c r="N128" s="181">
        <v>4225</v>
      </c>
      <c r="O128" s="181"/>
      <c r="P128" s="181"/>
      <c r="Q128" s="181"/>
      <c r="R128" s="181"/>
      <c r="S128" s="181"/>
      <c r="T128" s="181"/>
      <c r="U128" s="181"/>
      <c r="V128" s="181">
        <v>4437</v>
      </c>
      <c r="W128" s="181">
        <v>1450</v>
      </c>
      <c r="X128" s="181">
        <f>V128+W128</f>
        <v>5887</v>
      </c>
    </row>
    <row r="129" spans="1:24" x14ac:dyDescent="0.2">
      <c r="A129" s="195"/>
      <c r="B129" s="177"/>
      <c r="C129" s="194" t="s">
        <v>574</v>
      </c>
      <c r="D129" s="180" t="s">
        <v>587</v>
      </c>
      <c r="E129" s="181">
        <v>7275</v>
      </c>
      <c r="F129" s="181">
        <v>0</v>
      </c>
      <c r="G129" s="181">
        <v>0</v>
      </c>
      <c r="H129" s="181"/>
      <c r="I129" s="181">
        <v>0</v>
      </c>
      <c r="J129" s="181">
        <v>0</v>
      </c>
      <c r="K129" s="181">
        <v>556</v>
      </c>
      <c r="L129" s="181">
        <v>15</v>
      </c>
      <c r="M129" s="181">
        <v>0</v>
      </c>
      <c r="N129" s="181">
        <v>6704</v>
      </c>
      <c r="O129" s="181">
        <v>605</v>
      </c>
      <c r="P129" s="181">
        <v>0</v>
      </c>
      <c r="Q129" s="181">
        <v>80</v>
      </c>
      <c r="R129" s="181">
        <v>38</v>
      </c>
      <c r="S129" s="181">
        <v>0</v>
      </c>
      <c r="T129" s="181">
        <v>0</v>
      </c>
      <c r="U129" s="181">
        <v>0</v>
      </c>
      <c r="V129" s="181">
        <v>7880</v>
      </c>
      <c r="W129" s="181">
        <v>0</v>
      </c>
      <c r="X129" s="181">
        <f>V129+W129</f>
        <v>7880</v>
      </c>
    </row>
    <row r="130" spans="1:24" s="193" customFormat="1" ht="28.5" customHeight="1" x14ac:dyDescent="0.2">
      <c r="A130" s="188">
        <v>77</v>
      </c>
      <c r="B130" s="196" t="s">
        <v>285</v>
      </c>
      <c r="C130" s="190" t="s">
        <v>726</v>
      </c>
      <c r="D130" s="191" t="s">
        <v>587</v>
      </c>
      <c r="E130" s="192">
        <v>20526</v>
      </c>
      <c r="F130" s="192">
        <v>70</v>
      </c>
      <c r="G130" s="192">
        <v>0</v>
      </c>
      <c r="H130" s="192">
        <v>70</v>
      </c>
      <c r="I130" s="192">
        <v>0</v>
      </c>
      <c r="J130" s="192">
        <v>1</v>
      </c>
      <c r="K130" s="192">
        <v>621</v>
      </c>
      <c r="L130" s="192">
        <v>0</v>
      </c>
      <c r="M130" s="192">
        <v>62</v>
      </c>
      <c r="N130" s="192">
        <v>19772</v>
      </c>
      <c r="O130" s="192">
        <v>840</v>
      </c>
      <c r="P130" s="192">
        <v>0</v>
      </c>
      <c r="Q130" s="192">
        <v>5</v>
      </c>
      <c r="R130" s="192">
        <v>0</v>
      </c>
      <c r="S130" s="192">
        <v>0</v>
      </c>
      <c r="T130" s="192">
        <v>98</v>
      </c>
      <c r="U130" s="192">
        <v>0</v>
      </c>
      <c r="V130" s="192">
        <v>21366</v>
      </c>
      <c r="W130" s="192">
        <v>1028</v>
      </c>
      <c r="X130" s="192">
        <f>X131+X132</f>
        <v>22394</v>
      </c>
    </row>
    <row r="131" spans="1:24" x14ac:dyDescent="0.2">
      <c r="A131" s="195"/>
      <c r="B131" s="177"/>
      <c r="C131" s="194" t="s">
        <v>574</v>
      </c>
      <c r="D131" s="180" t="s">
        <v>566</v>
      </c>
      <c r="E131" s="181">
        <v>3793</v>
      </c>
      <c r="F131" s="181">
        <v>70</v>
      </c>
      <c r="G131" s="181">
        <v>0</v>
      </c>
      <c r="H131" s="181">
        <v>70</v>
      </c>
      <c r="I131" s="181">
        <v>0</v>
      </c>
      <c r="J131" s="181">
        <v>1</v>
      </c>
      <c r="K131" s="181">
        <v>0</v>
      </c>
      <c r="L131" s="181"/>
      <c r="M131" s="181">
        <v>0</v>
      </c>
      <c r="N131" s="181">
        <v>3722</v>
      </c>
      <c r="O131" s="181"/>
      <c r="P131" s="181"/>
      <c r="Q131" s="181"/>
      <c r="R131" s="181"/>
      <c r="S131" s="181"/>
      <c r="T131" s="181"/>
      <c r="U131" s="181"/>
      <c r="V131" s="181">
        <v>3793</v>
      </c>
      <c r="W131" s="181">
        <v>1028</v>
      </c>
      <c r="X131" s="181">
        <f>V131+W131</f>
        <v>4821</v>
      </c>
    </row>
    <row r="132" spans="1:24" x14ac:dyDescent="0.2">
      <c r="A132" s="195"/>
      <c r="B132" s="177"/>
      <c r="C132" s="194" t="s">
        <v>574</v>
      </c>
      <c r="D132" s="181" t="s">
        <v>587</v>
      </c>
      <c r="E132" s="181">
        <v>16733</v>
      </c>
      <c r="F132" s="181">
        <v>0</v>
      </c>
      <c r="G132" s="181">
        <v>0</v>
      </c>
      <c r="H132" s="181"/>
      <c r="I132" s="181">
        <v>0</v>
      </c>
      <c r="J132" s="181">
        <v>0</v>
      </c>
      <c r="K132" s="181">
        <v>621</v>
      </c>
      <c r="L132" s="181"/>
      <c r="M132" s="181">
        <v>62</v>
      </c>
      <c r="N132" s="181">
        <v>16050</v>
      </c>
      <c r="O132" s="181">
        <v>840</v>
      </c>
      <c r="P132" s="181">
        <v>0</v>
      </c>
      <c r="Q132" s="181">
        <v>5</v>
      </c>
      <c r="R132" s="181">
        <v>0</v>
      </c>
      <c r="S132" s="181">
        <v>0</v>
      </c>
      <c r="T132" s="181">
        <v>98</v>
      </c>
      <c r="U132" s="181">
        <v>0</v>
      </c>
      <c r="V132" s="181">
        <v>17573</v>
      </c>
      <c r="W132" s="181">
        <v>0</v>
      </c>
      <c r="X132" s="181">
        <f>V132+W132</f>
        <v>17573</v>
      </c>
    </row>
    <row r="133" spans="1:24" ht="18" customHeight="1" x14ac:dyDescent="0.2">
      <c r="A133" s="599">
        <v>78</v>
      </c>
      <c r="B133" s="196" t="s">
        <v>248</v>
      </c>
      <c r="C133" s="190" t="s">
        <v>594</v>
      </c>
      <c r="D133" s="191" t="s">
        <v>595</v>
      </c>
      <c r="E133" s="192">
        <v>1083</v>
      </c>
      <c r="F133" s="192">
        <v>1000</v>
      </c>
      <c r="G133" s="192">
        <v>1000</v>
      </c>
      <c r="H133" s="192"/>
      <c r="I133" s="192">
        <v>0</v>
      </c>
      <c r="J133" s="192">
        <v>0</v>
      </c>
      <c r="K133" s="192">
        <v>0</v>
      </c>
      <c r="L133" s="192">
        <v>0</v>
      </c>
      <c r="M133" s="192">
        <v>0</v>
      </c>
      <c r="N133" s="192">
        <v>83</v>
      </c>
      <c r="O133" s="192">
        <v>275</v>
      </c>
      <c r="P133" s="192">
        <v>0</v>
      </c>
      <c r="Q133" s="192">
        <v>0</v>
      </c>
      <c r="R133" s="192">
        <v>0</v>
      </c>
      <c r="S133" s="192">
        <v>0</v>
      </c>
      <c r="T133" s="192">
        <v>0</v>
      </c>
      <c r="U133" s="192">
        <v>0</v>
      </c>
      <c r="V133" s="192">
        <v>1358</v>
      </c>
      <c r="W133" s="192">
        <v>0</v>
      </c>
      <c r="X133" s="192">
        <f t="shared" ref="X133" si="4">V133+W133</f>
        <v>1358</v>
      </c>
    </row>
    <row r="134" spans="1:24" ht="44.25" customHeight="1" x14ac:dyDescent="0.2">
      <c r="A134" s="599">
        <v>79</v>
      </c>
      <c r="B134" s="204" t="s">
        <v>199</v>
      </c>
      <c r="C134" s="209" t="s">
        <v>203</v>
      </c>
      <c r="D134" s="191" t="s">
        <v>595</v>
      </c>
      <c r="E134" s="192">
        <v>500</v>
      </c>
      <c r="F134" s="192">
        <v>0</v>
      </c>
      <c r="G134" s="192">
        <v>0</v>
      </c>
      <c r="H134" s="192"/>
      <c r="I134" s="192">
        <v>0</v>
      </c>
      <c r="J134" s="192">
        <v>0</v>
      </c>
      <c r="K134" s="192">
        <v>0</v>
      </c>
      <c r="L134" s="192"/>
      <c r="M134" s="192"/>
      <c r="N134" s="192">
        <v>500</v>
      </c>
      <c r="O134" s="192">
        <v>0</v>
      </c>
      <c r="P134" s="192">
        <v>0</v>
      </c>
      <c r="Q134" s="192">
        <v>0</v>
      </c>
      <c r="R134" s="192">
        <v>0</v>
      </c>
      <c r="S134" s="192">
        <v>0</v>
      </c>
      <c r="T134" s="192">
        <v>0</v>
      </c>
      <c r="U134" s="192">
        <v>0</v>
      </c>
      <c r="V134" s="192">
        <v>500</v>
      </c>
      <c r="W134" s="192">
        <v>0</v>
      </c>
      <c r="X134" s="192">
        <f>V134+W134</f>
        <v>500</v>
      </c>
    </row>
    <row r="135" spans="1:24" s="193" customFormat="1" ht="18" customHeight="1" x14ac:dyDescent="0.2">
      <c r="A135" s="836">
        <v>80</v>
      </c>
      <c r="B135" s="189" t="s">
        <v>266</v>
      </c>
      <c r="C135" s="190" t="s">
        <v>267</v>
      </c>
      <c r="D135" s="191" t="s">
        <v>595</v>
      </c>
      <c r="E135" s="192">
        <v>26555</v>
      </c>
      <c r="F135" s="192">
        <v>2329</v>
      </c>
      <c r="G135" s="192">
        <v>2073</v>
      </c>
      <c r="H135" s="192">
        <v>256</v>
      </c>
      <c r="I135" s="192">
        <v>0</v>
      </c>
      <c r="J135" s="192">
        <v>0</v>
      </c>
      <c r="K135" s="192">
        <v>968</v>
      </c>
      <c r="L135" s="192">
        <v>0</v>
      </c>
      <c r="M135" s="192">
        <v>60</v>
      </c>
      <c r="N135" s="192">
        <v>23198</v>
      </c>
      <c r="O135" s="192">
        <v>3006</v>
      </c>
      <c r="P135" s="192">
        <v>320</v>
      </c>
      <c r="Q135" s="192">
        <v>100</v>
      </c>
      <c r="R135" s="192">
        <v>0</v>
      </c>
      <c r="S135" s="192">
        <v>0</v>
      </c>
      <c r="T135" s="192">
        <v>420</v>
      </c>
      <c r="U135" s="192">
        <v>96</v>
      </c>
      <c r="V135" s="192">
        <v>29561</v>
      </c>
      <c r="W135" s="192">
        <v>1142</v>
      </c>
      <c r="X135" s="192">
        <f>X136+X137</f>
        <v>30703</v>
      </c>
    </row>
    <row r="136" spans="1:24" x14ac:dyDescent="0.2">
      <c r="A136" s="837"/>
      <c r="B136" s="205"/>
      <c r="C136" s="194" t="s">
        <v>574</v>
      </c>
      <c r="D136" s="180" t="s">
        <v>566</v>
      </c>
      <c r="E136" s="181">
        <v>2106</v>
      </c>
      <c r="F136" s="181">
        <v>0</v>
      </c>
      <c r="G136" s="181">
        <v>0</v>
      </c>
      <c r="H136" s="181"/>
      <c r="I136" s="181">
        <v>0</v>
      </c>
      <c r="J136" s="181">
        <v>0</v>
      </c>
      <c r="K136" s="181">
        <v>0</v>
      </c>
      <c r="L136" s="181"/>
      <c r="M136" s="181">
        <v>0</v>
      </c>
      <c r="N136" s="181">
        <v>2106</v>
      </c>
      <c r="O136" s="180"/>
      <c r="P136" s="180"/>
      <c r="Q136" s="180"/>
      <c r="R136" s="180"/>
      <c r="S136" s="180"/>
      <c r="T136" s="180"/>
      <c r="U136" s="180"/>
      <c r="V136" s="181">
        <v>2106</v>
      </c>
      <c r="W136" s="181">
        <v>1142</v>
      </c>
      <c r="X136" s="181">
        <f>V136+W136</f>
        <v>3248</v>
      </c>
    </row>
    <row r="137" spans="1:24" ht="12.75" customHeight="1" x14ac:dyDescent="0.2">
      <c r="A137" s="838"/>
      <c r="B137" s="205"/>
      <c r="C137" s="194" t="s">
        <v>574</v>
      </c>
      <c r="D137" s="181" t="s">
        <v>595</v>
      </c>
      <c r="E137" s="181">
        <v>24449</v>
      </c>
      <c r="F137" s="181">
        <v>2329</v>
      </c>
      <c r="G137" s="181">
        <v>2073</v>
      </c>
      <c r="H137" s="181">
        <v>256</v>
      </c>
      <c r="I137" s="181">
        <v>0</v>
      </c>
      <c r="J137" s="181">
        <v>0</v>
      </c>
      <c r="K137" s="181">
        <v>968</v>
      </c>
      <c r="L137" s="181"/>
      <c r="M137" s="181">
        <v>60</v>
      </c>
      <c r="N137" s="181">
        <v>21092</v>
      </c>
      <c r="O137" s="181">
        <v>3006</v>
      </c>
      <c r="P137" s="181">
        <v>320</v>
      </c>
      <c r="Q137" s="181">
        <v>100</v>
      </c>
      <c r="R137" s="181">
        <v>0</v>
      </c>
      <c r="S137" s="181">
        <v>0</v>
      </c>
      <c r="T137" s="181">
        <v>420</v>
      </c>
      <c r="U137" s="181">
        <v>96</v>
      </c>
      <c r="V137" s="181">
        <v>27455</v>
      </c>
      <c r="W137" s="181">
        <v>0</v>
      </c>
      <c r="X137" s="181">
        <f>V137+W137</f>
        <v>27455</v>
      </c>
    </row>
    <row r="138" spans="1:24" s="193" customFormat="1" ht="18" customHeight="1" x14ac:dyDescent="0.2">
      <c r="A138" s="836">
        <v>81</v>
      </c>
      <c r="B138" s="202" t="s">
        <v>272</v>
      </c>
      <c r="C138" s="190" t="s">
        <v>273</v>
      </c>
      <c r="D138" s="191" t="s">
        <v>596</v>
      </c>
      <c r="E138" s="192">
        <v>19486</v>
      </c>
      <c r="F138" s="192">
        <v>1522</v>
      </c>
      <c r="G138" s="192">
        <v>1172</v>
      </c>
      <c r="H138" s="192">
        <v>350</v>
      </c>
      <c r="I138" s="192">
        <v>0</v>
      </c>
      <c r="J138" s="192">
        <v>0</v>
      </c>
      <c r="K138" s="192">
        <v>0</v>
      </c>
      <c r="L138" s="192">
        <v>0</v>
      </c>
      <c r="M138" s="192">
        <v>0</v>
      </c>
      <c r="N138" s="192">
        <v>17964</v>
      </c>
      <c r="O138" s="192">
        <v>1266</v>
      </c>
      <c r="P138" s="192">
        <v>218</v>
      </c>
      <c r="Q138" s="192">
        <v>0</v>
      </c>
      <c r="R138" s="192">
        <v>0</v>
      </c>
      <c r="S138" s="192">
        <v>0</v>
      </c>
      <c r="T138" s="192">
        <v>0</v>
      </c>
      <c r="U138" s="192">
        <v>0</v>
      </c>
      <c r="V138" s="192">
        <v>20752</v>
      </c>
      <c r="W138" s="181">
        <v>1320</v>
      </c>
      <c r="X138" s="192">
        <f>X139+X140</f>
        <v>22072</v>
      </c>
    </row>
    <row r="139" spans="1:24" x14ac:dyDescent="0.2">
      <c r="A139" s="837"/>
      <c r="B139" s="177"/>
      <c r="C139" s="194" t="s">
        <v>574</v>
      </c>
      <c r="D139" s="180" t="s">
        <v>566</v>
      </c>
      <c r="E139" s="181">
        <v>318</v>
      </c>
      <c r="F139" s="181">
        <v>0</v>
      </c>
      <c r="G139" s="181">
        <v>0</v>
      </c>
      <c r="H139" s="181"/>
      <c r="I139" s="181">
        <v>0</v>
      </c>
      <c r="J139" s="181">
        <v>0</v>
      </c>
      <c r="K139" s="181">
        <v>0</v>
      </c>
      <c r="L139" s="181"/>
      <c r="M139" s="181">
        <v>0</v>
      </c>
      <c r="N139" s="181">
        <v>318</v>
      </c>
      <c r="O139" s="180"/>
      <c r="P139" s="180"/>
      <c r="Q139" s="180"/>
      <c r="R139" s="180"/>
      <c r="S139" s="180"/>
      <c r="T139" s="180"/>
      <c r="U139" s="180"/>
      <c r="V139" s="181">
        <v>318</v>
      </c>
      <c r="W139" s="181">
        <v>1320</v>
      </c>
      <c r="X139" s="181">
        <f>V139+W139</f>
        <v>1638</v>
      </c>
    </row>
    <row r="140" spans="1:24" x14ac:dyDescent="0.2">
      <c r="A140" s="838"/>
      <c r="B140" s="177"/>
      <c r="C140" s="194" t="s">
        <v>574</v>
      </c>
      <c r="D140" s="180" t="s">
        <v>596</v>
      </c>
      <c r="E140" s="198">
        <v>19168</v>
      </c>
      <c r="F140" s="198">
        <v>1522</v>
      </c>
      <c r="G140" s="198">
        <v>1172</v>
      </c>
      <c r="H140" s="198">
        <v>350</v>
      </c>
      <c r="I140" s="198">
        <v>0</v>
      </c>
      <c r="J140" s="198">
        <v>0</v>
      </c>
      <c r="K140" s="198">
        <v>0</v>
      </c>
      <c r="L140" s="198"/>
      <c r="M140" s="198">
        <v>0</v>
      </c>
      <c r="N140" s="198">
        <v>17646</v>
      </c>
      <c r="O140" s="181">
        <v>1266</v>
      </c>
      <c r="P140" s="181">
        <v>218</v>
      </c>
      <c r="Q140" s="181">
        <v>0</v>
      </c>
      <c r="R140" s="181">
        <v>0</v>
      </c>
      <c r="S140" s="181">
        <v>0</v>
      </c>
      <c r="T140" s="181">
        <v>0</v>
      </c>
      <c r="U140" s="181">
        <v>0</v>
      </c>
      <c r="V140" s="181">
        <v>20434</v>
      </c>
      <c r="W140" s="181">
        <v>0</v>
      </c>
      <c r="X140" s="181">
        <f>V140+W140</f>
        <v>20434</v>
      </c>
    </row>
    <row r="141" spans="1:24" s="193" customFormat="1" ht="18" customHeight="1" x14ac:dyDescent="0.2">
      <c r="A141" s="188">
        <v>82</v>
      </c>
      <c r="B141" s="189" t="s">
        <v>282</v>
      </c>
      <c r="C141" s="190" t="s">
        <v>768</v>
      </c>
      <c r="D141" s="191" t="s">
        <v>596</v>
      </c>
      <c r="E141" s="192">
        <v>4442</v>
      </c>
      <c r="F141" s="192">
        <v>0</v>
      </c>
      <c r="G141" s="192">
        <v>0</v>
      </c>
      <c r="H141" s="192"/>
      <c r="I141" s="192">
        <v>0</v>
      </c>
      <c r="J141" s="192">
        <v>0</v>
      </c>
      <c r="K141" s="192">
        <v>0</v>
      </c>
      <c r="L141" s="192">
        <v>0</v>
      </c>
      <c r="M141" s="192">
        <v>0</v>
      </c>
      <c r="N141" s="192">
        <v>4442</v>
      </c>
      <c r="O141" s="192">
        <v>300</v>
      </c>
      <c r="P141" s="192">
        <v>0</v>
      </c>
      <c r="Q141" s="192">
        <v>0</v>
      </c>
      <c r="R141" s="192">
        <v>0</v>
      </c>
      <c r="S141" s="192">
        <v>0</v>
      </c>
      <c r="T141" s="192">
        <v>0</v>
      </c>
      <c r="U141" s="192">
        <v>0</v>
      </c>
      <c r="V141" s="192">
        <v>4742</v>
      </c>
      <c r="W141" s="181">
        <v>2085</v>
      </c>
      <c r="X141" s="192">
        <f>V141+W141</f>
        <v>6827</v>
      </c>
    </row>
    <row r="142" spans="1:24" s="193" customFormat="1" ht="30" customHeight="1" x14ac:dyDescent="0.2">
      <c r="A142" s="188"/>
      <c r="B142" s="204"/>
      <c r="C142" s="206" t="s">
        <v>15</v>
      </c>
      <c r="D142" s="191"/>
      <c r="E142" s="192">
        <f t="shared" ref="E142:V142" si="5">SUM(E9:E62)+E63+E66+E75+E78+E81+E84+E87+E90+E93+E97+E100+E103+E106+E109+E112+E115+E118+E121+E124+E127+E130+E133+E134+E135+E138+E141+E69+E72</f>
        <v>638488</v>
      </c>
      <c r="F142" s="192">
        <f t="shared" si="5"/>
        <v>36059</v>
      </c>
      <c r="G142" s="192">
        <f t="shared" si="5"/>
        <v>33938</v>
      </c>
      <c r="H142" s="192">
        <f t="shared" si="5"/>
        <v>2121</v>
      </c>
      <c r="I142" s="192">
        <f t="shared" si="5"/>
        <v>2643</v>
      </c>
      <c r="J142" s="192">
        <f t="shared" si="5"/>
        <v>229</v>
      </c>
      <c r="K142" s="192">
        <f t="shared" si="5"/>
        <v>7813</v>
      </c>
      <c r="L142" s="192">
        <f t="shared" si="5"/>
        <v>379</v>
      </c>
      <c r="M142" s="192">
        <f t="shared" si="5"/>
        <v>720</v>
      </c>
      <c r="N142" s="192">
        <f t="shared" si="5"/>
        <v>590645</v>
      </c>
      <c r="O142" s="192">
        <f t="shared" si="5"/>
        <v>17709</v>
      </c>
      <c r="P142" s="192">
        <f t="shared" si="5"/>
        <v>2599</v>
      </c>
      <c r="Q142" s="192">
        <f t="shared" si="5"/>
        <v>1292</v>
      </c>
      <c r="R142" s="192">
        <f t="shared" si="5"/>
        <v>1277</v>
      </c>
      <c r="S142" s="192">
        <f t="shared" si="5"/>
        <v>725</v>
      </c>
      <c r="T142" s="192">
        <f t="shared" si="5"/>
        <v>1091</v>
      </c>
      <c r="U142" s="192">
        <f t="shared" si="5"/>
        <v>96</v>
      </c>
      <c r="V142" s="192">
        <f t="shared" si="5"/>
        <v>656197</v>
      </c>
      <c r="W142" s="192">
        <f>'[17]Свод по уровням'!$E138</f>
        <v>22498</v>
      </c>
      <c r="X142" s="192">
        <f>SUM(X9:X62)+X63+X66+X75+X78+X81+X84+X87+X90+X93+X97+X100+X103+X106+X109+X112+X115+X118+X121+X124+X127+X130+X133+X134+X135+X138+X141+X69+X72</f>
        <v>678695</v>
      </c>
    </row>
    <row r="143" spans="1:24" ht="25.5" x14ac:dyDescent="0.2">
      <c r="A143" s="177"/>
      <c r="B143" s="177"/>
      <c r="C143" s="179" t="s">
        <v>597</v>
      </c>
      <c r="D143" s="180"/>
      <c r="E143" s="192">
        <v>20954</v>
      </c>
      <c r="F143" s="192">
        <v>730</v>
      </c>
      <c r="G143" s="192">
        <v>730</v>
      </c>
      <c r="H143" s="192"/>
      <c r="I143" s="192"/>
      <c r="J143" s="192"/>
      <c r="K143" s="192"/>
      <c r="L143" s="192"/>
      <c r="M143" s="192"/>
      <c r="N143" s="192">
        <f>E143-F143</f>
        <v>20224</v>
      </c>
      <c r="O143" s="192"/>
      <c r="P143" s="192"/>
      <c r="Q143" s="192"/>
      <c r="R143" s="192"/>
      <c r="S143" s="192"/>
      <c r="T143" s="192"/>
      <c r="U143" s="192"/>
      <c r="V143" s="192">
        <f>E143+O143</f>
        <v>20954</v>
      </c>
      <c r="W143" s="192">
        <v>16</v>
      </c>
      <c r="X143" s="192">
        <f>V143+W143</f>
        <v>20970</v>
      </c>
    </row>
    <row r="144" spans="1:24" ht="19.5" customHeight="1" x14ac:dyDescent="0.2">
      <c r="A144" s="839" t="s">
        <v>438</v>
      </c>
      <c r="B144" s="840"/>
      <c r="C144" s="840"/>
      <c r="D144" s="207"/>
      <c r="E144" s="192">
        <f>E142+E143</f>
        <v>659442</v>
      </c>
      <c r="F144" s="192">
        <f t="shared" ref="F144:X144" si="6">F142+F143</f>
        <v>36789</v>
      </c>
      <c r="G144" s="192">
        <f t="shared" si="6"/>
        <v>34668</v>
      </c>
      <c r="H144" s="192">
        <f t="shared" si="6"/>
        <v>2121</v>
      </c>
      <c r="I144" s="192">
        <f t="shared" si="6"/>
        <v>2643</v>
      </c>
      <c r="J144" s="192">
        <f t="shared" ref="J144" si="7">J142+J143</f>
        <v>229</v>
      </c>
      <c r="K144" s="192">
        <f t="shared" si="6"/>
        <v>7813</v>
      </c>
      <c r="L144" s="192">
        <f t="shared" si="6"/>
        <v>379</v>
      </c>
      <c r="M144" s="192">
        <f t="shared" si="6"/>
        <v>720</v>
      </c>
      <c r="N144" s="192">
        <f t="shared" si="6"/>
        <v>610869</v>
      </c>
      <c r="O144" s="192">
        <f t="shared" si="6"/>
        <v>17709</v>
      </c>
      <c r="P144" s="192">
        <f t="shared" si="6"/>
        <v>2599</v>
      </c>
      <c r="Q144" s="192">
        <f t="shared" si="6"/>
        <v>1292</v>
      </c>
      <c r="R144" s="192">
        <f t="shared" si="6"/>
        <v>1277</v>
      </c>
      <c r="S144" s="192">
        <f t="shared" si="6"/>
        <v>725</v>
      </c>
      <c r="T144" s="192">
        <f t="shared" si="6"/>
        <v>1091</v>
      </c>
      <c r="U144" s="192">
        <f t="shared" si="6"/>
        <v>96</v>
      </c>
      <c r="V144" s="192">
        <f t="shared" si="6"/>
        <v>677151</v>
      </c>
      <c r="W144" s="192">
        <f t="shared" si="6"/>
        <v>22514</v>
      </c>
      <c r="X144" s="192">
        <f t="shared" si="6"/>
        <v>699665</v>
      </c>
    </row>
    <row r="146" spans="5:24" s="265" customFormat="1" ht="11.25" x14ac:dyDescent="0.2">
      <c r="E146" s="264"/>
      <c r="O146" s="266"/>
      <c r="P146" s="266"/>
      <c r="Q146" s="266"/>
      <c r="R146" s="266"/>
      <c r="S146" s="266"/>
      <c r="T146" s="266"/>
      <c r="U146" s="266"/>
      <c r="X146" s="267"/>
    </row>
    <row r="147" spans="5:24" s="557" customFormat="1" ht="12" x14ac:dyDescent="0.2">
      <c r="O147" s="558"/>
      <c r="P147" s="558"/>
      <c r="Q147" s="558"/>
      <c r="R147" s="558"/>
      <c r="S147" s="558"/>
      <c r="T147" s="558"/>
      <c r="U147" s="558"/>
      <c r="X147" s="559"/>
    </row>
    <row r="148" spans="5:24" s="265" customFormat="1" ht="11.25" x14ac:dyDescent="0.2">
      <c r="E148" s="264"/>
      <c r="O148" s="266"/>
      <c r="P148" s="266"/>
      <c r="Q148" s="266"/>
      <c r="R148" s="266"/>
      <c r="S148" s="266"/>
      <c r="T148" s="266"/>
      <c r="U148" s="266"/>
      <c r="X148" s="267"/>
    </row>
    <row r="149" spans="5:24" x14ac:dyDescent="0.2">
      <c r="E149" s="182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zoomScale="70" zoomScaleNormal="70" workbookViewId="0">
      <pane xSplit="3" ySplit="5" topLeftCell="D58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6"/>
    <col min="2" max="2" width="54.28515625" style="566" customWidth="1"/>
    <col min="3" max="3" width="12.140625" style="76" customWidth="1"/>
    <col min="4" max="4" width="11.42578125" style="76" customWidth="1"/>
    <col min="5" max="5" width="11.7109375" style="76" customWidth="1"/>
    <col min="6" max="7" width="12.42578125" style="76" customWidth="1"/>
    <col min="8" max="8" width="13.140625" style="76" customWidth="1"/>
    <col min="9" max="9" width="16.42578125" style="76" customWidth="1"/>
    <col min="10" max="10" width="11.28515625" style="76" customWidth="1"/>
    <col min="11" max="11" width="12.140625" style="76" customWidth="1"/>
    <col min="12" max="12" width="13.42578125" style="76" customWidth="1"/>
    <col min="13" max="13" width="11.42578125" style="76" customWidth="1"/>
    <col min="14" max="14" width="19" style="76" customWidth="1"/>
    <col min="15" max="15" width="19.28515625" style="76" customWidth="1"/>
    <col min="16" max="16" width="19.7109375" style="76" customWidth="1"/>
    <col min="17" max="17" width="24.85546875" style="76" customWidth="1"/>
    <col min="18" max="18" width="17.42578125" style="76" customWidth="1"/>
    <col min="19" max="16384" width="9.140625" style="76"/>
  </cols>
  <sheetData>
    <row r="1" spans="1:21" ht="33.75" customHeight="1" x14ac:dyDescent="0.25">
      <c r="A1" s="75"/>
      <c r="B1" s="959" t="s">
        <v>325</v>
      </c>
      <c r="C1" s="959"/>
      <c r="D1" s="959"/>
      <c r="E1" s="959"/>
      <c r="F1" s="959"/>
      <c r="G1" s="959"/>
      <c r="H1" s="959"/>
      <c r="I1" s="959"/>
      <c r="J1" s="959"/>
      <c r="K1" s="959"/>
      <c r="L1" s="959"/>
      <c r="M1" s="959"/>
      <c r="N1" s="959"/>
      <c r="O1" s="959"/>
      <c r="P1" s="959"/>
      <c r="Q1" s="959"/>
      <c r="R1" s="959"/>
    </row>
    <row r="2" spans="1:21" ht="15.75" customHeight="1" x14ac:dyDescent="0.25"/>
    <row r="3" spans="1:21" ht="15.75" customHeight="1" x14ac:dyDescent="0.25">
      <c r="A3" s="960" t="s">
        <v>0</v>
      </c>
      <c r="B3" s="961" t="s">
        <v>309</v>
      </c>
      <c r="C3" s="962" t="s">
        <v>326</v>
      </c>
      <c r="D3" s="963" t="s">
        <v>327</v>
      </c>
      <c r="E3" s="963"/>
      <c r="F3" s="963"/>
      <c r="G3" s="963"/>
      <c r="H3" s="963"/>
      <c r="I3" s="963" t="s">
        <v>328</v>
      </c>
      <c r="J3" s="963"/>
      <c r="K3" s="963"/>
      <c r="L3" s="963"/>
      <c r="M3" s="963"/>
      <c r="N3" s="963"/>
      <c r="O3" s="963"/>
      <c r="P3" s="963"/>
      <c r="Q3" s="963"/>
      <c r="R3" s="963"/>
    </row>
    <row r="4" spans="1:21" ht="16.5" customHeight="1" x14ac:dyDescent="0.25">
      <c r="A4" s="960"/>
      <c r="B4" s="961"/>
      <c r="C4" s="962"/>
      <c r="D4" s="964" t="s">
        <v>13</v>
      </c>
      <c r="E4" s="963" t="s">
        <v>329</v>
      </c>
      <c r="F4" s="963" t="s">
        <v>6</v>
      </c>
      <c r="G4" s="963"/>
      <c r="H4" s="963" t="s">
        <v>330</v>
      </c>
      <c r="I4" s="955" t="s">
        <v>329</v>
      </c>
      <c r="J4" s="956"/>
      <c r="K4" s="956"/>
      <c r="L4" s="956"/>
      <c r="M4" s="956"/>
      <c r="N4" s="957"/>
      <c r="O4" s="958" t="s">
        <v>330</v>
      </c>
      <c r="P4" s="958"/>
      <c r="Q4" s="958"/>
      <c r="R4" s="958"/>
    </row>
    <row r="5" spans="1:21" ht="90" customHeight="1" x14ac:dyDescent="0.25">
      <c r="A5" s="960"/>
      <c r="B5" s="961"/>
      <c r="C5" s="962"/>
      <c r="D5" s="964"/>
      <c r="E5" s="963"/>
      <c r="F5" s="77" t="s">
        <v>331</v>
      </c>
      <c r="G5" s="77" t="s">
        <v>332</v>
      </c>
      <c r="H5" s="963"/>
      <c r="I5" s="78" t="s">
        <v>333</v>
      </c>
      <c r="J5" s="78" t="s">
        <v>334</v>
      </c>
      <c r="K5" s="78" t="s">
        <v>332</v>
      </c>
      <c r="L5" s="78" t="s">
        <v>335</v>
      </c>
      <c r="M5" s="78" t="s">
        <v>336</v>
      </c>
      <c r="N5" s="78" t="s">
        <v>337</v>
      </c>
      <c r="O5" s="78" t="s">
        <v>338</v>
      </c>
      <c r="P5" s="78" t="s">
        <v>339</v>
      </c>
      <c r="Q5" s="78" t="s">
        <v>340</v>
      </c>
      <c r="R5" s="78" t="s">
        <v>341</v>
      </c>
      <c r="S5" s="79"/>
    </row>
    <row r="6" spans="1:21" ht="15.75" x14ac:dyDescent="0.25">
      <c r="A6" s="80">
        <v>1</v>
      </c>
      <c r="B6" s="567" t="s">
        <v>207</v>
      </c>
      <c r="C6" s="87" t="s">
        <v>206</v>
      </c>
      <c r="D6" s="81">
        <v>740</v>
      </c>
      <c r="E6" s="81">
        <v>440</v>
      </c>
      <c r="F6" s="81">
        <v>70</v>
      </c>
      <c r="G6" s="81">
        <v>370</v>
      </c>
      <c r="H6" s="81">
        <v>300</v>
      </c>
      <c r="I6" s="81">
        <v>88</v>
      </c>
      <c r="J6" s="81">
        <v>14</v>
      </c>
      <c r="K6" s="81">
        <v>74</v>
      </c>
      <c r="L6" s="81">
        <v>88</v>
      </c>
      <c r="M6" s="81">
        <v>88</v>
      </c>
      <c r="N6" s="81">
        <v>74</v>
      </c>
      <c r="O6" s="81">
        <v>60</v>
      </c>
      <c r="P6" s="81">
        <v>60</v>
      </c>
      <c r="Q6" s="81">
        <v>60</v>
      </c>
      <c r="R6" s="81">
        <v>60</v>
      </c>
      <c r="U6" s="82"/>
    </row>
    <row r="7" spans="1:21" ht="15.75" x14ac:dyDescent="0.25">
      <c r="A7" s="80">
        <v>2</v>
      </c>
      <c r="B7" s="567" t="s">
        <v>342</v>
      </c>
      <c r="C7" s="87" t="s">
        <v>132</v>
      </c>
      <c r="D7" s="81">
        <v>2321</v>
      </c>
      <c r="E7" s="81">
        <v>1071</v>
      </c>
      <c r="F7" s="81">
        <v>208</v>
      </c>
      <c r="G7" s="81">
        <v>863</v>
      </c>
      <c r="H7" s="81">
        <v>1250</v>
      </c>
      <c r="I7" s="81">
        <v>215</v>
      </c>
      <c r="J7" s="81">
        <v>42</v>
      </c>
      <c r="K7" s="81">
        <v>173</v>
      </c>
      <c r="L7" s="81">
        <v>215</v>
      </c>
      <c r="M7" s="81">
        <v>215</v>
      </c>
      <c r="N7" s="81">
        <v>173</v>
      </c>
      <c r="O7" s="81">
        <v>250</v>
      </c>
      <c r="P7" s="81">
        <v>250</v>
      </c>
      <c r="Q7" s="81">
        <v>250</v>
      </c>
      <c r="R7" s="81">
        <v>250</v>
      </c>
    </row>
    <row r="8" spans="1:21" ht="15.75" x14ac:dyDescent="0.25">
      <c r="A8" s="80">
        <v>3</v>
      </c>
      <c r="B8" s="567" t="s">
        <v>343</v>
      </c>
      <c r="C8" s="87" t="s">
        <v>128</v>
      </c>
      <c r="D8" s="81">
        <v>4348</v>
      </c>
      <c r="E8" s="81">
        <v>2117</v>
      </c>
      <c r="F8" s="81">
        <v>518</v>
      </c>
      <c r="G8" s="81">
        <v>1599</v>
      </c>
      <c r="H8" s="81">
        <v>2231</v>
      </c>
      <c r="I8" s="81">
        <v>424</v>
      </c>
      <c r="J8" s="81">
        <v>104</v>
      </c>
      <c r="K8" s="81">
        <v>320</v>
      </c>
      <c r="L8" s="81">
        <v>424</v>
      </c>
      <c r="M8" s="81">
        <v>424</v>
      </c>
      <c r="N8" s="81">
        <v>320</v>
      </c>
      <c r="O8" s="81">
        <v>446</v>
      </c>
      <c r="P8" s="81">
        <v>446</v>
      </c>
      <c r="Q8" s="81">
        <v>446</v>
      </c>
      <c r="R8" s="81">
        <v>446</v>
      </c>
    </row>
    <row r="9" spans="1:21" ht="15.75" x14ac:dyDescent="0.25">
      <c r="A9" s="80">
        <v>4</v>
      </c>
      <c r="B9" s="567" t="s">
        <v>344</v>
      </c>
      <c r="C9" s="87" t="s">
        <v>134</v>
      </c>
      <c r="D9" s="81">
        <v>4191</v>
      </c>
      <c r="E9" s="81">
        <v>1944</v>
      </c>
      <c r="F9" s="81">
        <v>405</v>
      </c>
      <c r="G9" s="81">
        <v>1539</v>
      </c>
      <c r="H9" s="81">
        <v>2247</v>
      </c>
      <c r="I9" s="81">
        <v>389</v>
      </c>
      <c r="J9" s="81">
        <v>81</v>
      </c>
      <c r="K9" s="81">
        <v>308</v>
      </c>
      <c r="L9" s="81">
        <v>389</v>
      </c>
      <c r="M9" s="81">
        <v>389</v>
      </c>
      <c r="N9" s="81">
        <v>308</v>
      </c>
      <c r="O9" s="81">
        <v>449</v>
      </c>
      <c r="P9" s="81">
        <v>449</v>
      </c>
      <c r="Q9" s="81">
        <v>449</v>
      </c>
      <c r="R9" s="81">
        <v>449</v>
      </c>
    </row>
    <row r="10" spans="1:21" ht="15.75" x14ac:dyDescent="0.25">
      <c r="A10" s="80">
        <v>5</v>
      </c>
      <c r="B10" s="567" t="s">
        <v>345</v>
      </c>
      <c r="C10" s="87" t="s">
        <v>108</v>
      </c>
      <c r="D10" s="81">
        <v>3249</v>
      </c>
      <c r="E10" s="81">
        <v>1459</v>
      </c>
      <c r="F10" s="81">
        <v>390</v>
      </c>
      <c r="G10" s="81">
        <v>1069</v>
      </c>
      <c r="H10" s="81">
        <v>1790</v>
      </c>
      <c r="I10" s="81">
        <v>292</v>
      </c>
      <c r="J10" s="81">
        <v>78</v>
      </c>
      <c r="K10" s="81">
        <v>214</v>
      </c>
      <c r="L10" s="81">
        <v>292</v>
      </c>
      <c r="M10" s="81">
        <v>292</v>
      </c>
      <c r="N10" s="81">
        <v>214</v>
      </c>
      <c r="O10" s="81">
        <v>358</v>
      </c>
      <c r="P10" s="81">
        <v>358</v>
      </c>
      <c r="Q10" s="81">
        <v>358</v>
      </c>
      <c r="R10" s="81">
        <v>358</v>
      </c>
    </row>
    <row r="11" spans="1:21" ht="15.75" x14ac:dyDescent="0.25">
      <c r="A11" s="80">
        <v>6</v>
      </c>
      <c r="B11" s="567" t="s">
        <v>346</v>
      </c>
      <c r="C11" s="87" t="s">
        <v>106</v>
      </c>
      <c r="D11" s="81">
        <v>10597</v>
      </c>
      <c r="E11" s="81">
        <v>5239</v>
      </c>
      <c r="F11" s="81">
        <v>1281</v>
      </c>
      <c r="G11" s="81">
        <v>3958</v>
      </c>
      <c r="H11" s="81">
        <v>5358</v>
      </c>
      <c r="I11" s="81">
        <v>1048</v>
      </c>
      <c r="J11" s="81">
        <v>256</v>
      </c>
      <c r="K11" s="81">
        <v>792</v>
      </c>
      <c r="L11" s="81">
        <v>1048</v>
      </c>
      <c r="M11" s="81">
        <v>1048</v>
      </c>
      <c r="N11" s="81">
        <v>792</v>
      </c>
      <c r="O11" s="81">
        <v>1072</v>
      </c>
      <c r="P11" s="81">
        <v>1072</v>
      </c>
      <c r="Q11" s="81">
        <v>1072</v>
      </c>
      <c r="R11" s="81">
        <v>1072</v>
      </c>
    </row>
    <row r="12" spans="1:21" ht="15.75" x14ac:dyDescent="0.25">
      <c r="A12" s="80">
        <v>7</v>
      </c>
      <c r="B12" s="567" t="s">
        <v>347</v>
      </c>
      <c r="C12" s="87" t="s">
        <v>100</v>
      </c>
      <c r="D12" s="81">
        <v>2793</v>
      </c>
      <c r="E12" s="81">
        <v>1254</v>
      </c>
      <c r="F12" s="81">
        <v>325</v>
      </c>
      <c r="G12" s="81">
        <v>929</v>
      </c>
      <c r="H12" s="81">
        <v>1539</v>
      </c>
      <c r="I12" s="81">
        <v>251</v>
      </c>
      <c r="J12" s="81">
        <v>65</v>
      </c>
      <c r="K12" s="81">
        <v>186</v>
      </c>
      <c r="L12" s="81">
        <v>251</v>
      </c>
      <c r="M12" s="81">
        <v>251</v>
      </c>
      <c r="N12" s="81">
        <v>186</v>
      </c>
      <c r="O12" s="81">
        <v>308</v>
      </c>
      <c r="P12" s="81">
        <v>308</v>
      </c>
      <c r="Q12" s="81">
        <v>308</v>
      </c>
      <c r="R12" s="81">
        <v>308</v>
      </c>
    </row>
    <row r="13" spans="1:21" ht="15.75" x14ac:dyDescent="0.25">
      <c r="A13" s="80">
        <v>8</v>
      </c>
      <c r="B13" s="567" t="s">
        <v>348</v>
      </c>
      <c r="C13" s="87" t="s">
        <v>26</v>
      </c>
      <c r="D13" s="81">
        <v>10304</v>
      </c>
      <c r="E13" s="81">
        <v>5182</v>
      </c>
      <c r="F13" s="81">
        <v>1251</v>
      </c>
      <c r="G13" s="81">
        <v>3931</v>
      </c>
      <c r="H13" s="81">
        <v>5122</v>
      </c>
      <c r="I13" s="81">
        <v>1036</v>
      </c>
      <c r="J13" s="81">
        <v>250</v>
      </c>
      <c r="K13" s="81">
        <v>786</v>
      </c>
      <c r="L13" s="81">
        <v>1036</v>
      </c>
      <c r="M13" s="81">
        <v>1036</v>
      </c>
      <c r="N13" s="81">
        <v>786</v>
      </c>
      <c r="O13" s="81">
        <v>1024</v>
      </c>
      <c r="P13" s="81">
        <v>1024</v>
      </c>
      <c r="Q13" s="81">
        <v>1024</v>
      </c>
      <c r="R13" s="81">
        <v>1024</v>
      </c>
    </row>
    <row r="14" spans="1:21" ht="15.75" x14ac:dyDescent="0.25">
      <c r="A14" s="80">
        <v>9</v>
      </c>
      <c r="B14" s="567" t="s">
        <v>349</v>
      </c>
      <c r="C14" s="87" t="s">
        <v>18</v>
      </c>
      <c r="D14" s="81">
        <v>22024</v>
      </c>
      <c r="E14" s="81">
        <v>11524</v>
      </c>
      <c r="F14" s="81">
        <v>2792</v>
      </c>
      <c r="G14" s="81">
        <v>8732</v>
      </c>
      <c r="H14" s="81">
        <v>10500</v>
      </c>
      <c r="I14" s="81">
        <v>2304</v>
      </c>
      <c r="J14" s="81">
        <v>558</v>
      </c>
      <c r="K14" s="81">
        <v>1746</v>
      </c>
      <c r="L14" s="81">
        <v>2304</v>
      </c>
      <c r="M14" s="81">
        <v>2304</v>
      </c>
      <c r="N14" s="81">
        <v>1746</v>
      </c>
      <c r="O14" s="81">
        <v>2100</v>
      </c>
      <c r="P14" s="81">
        <v>2100</v>
      </c>
      <c r="Q14" s="81">
        <v>2100</v>
      </c>
      <c r="R14" s="81">
        <v>2100</v>
      </c>
    </row>
    <row r="15" spans="1:21" ht="15.75" x14ac:dyDescent="0.25">
      <c r="A15" s="80">
        <v>10</v>
      </c>
      <c r="B15" s="567" t="s">
        <v>350</v>
      </c>
      <c r="C15" s="87" t="s">
        <v>68</v>
      </c>
      <c r="D15" s="81">
        <v>3533</v>
      </c>
      <c r="E15" s="81">
        <v>1625</v>
      </c>
      <c r="F15" s="81">
        <v>395</v>
      </c>
      <c r="G15" s="81">
        <v>1230</v>
      </c>
      <c r="H15" s="81">
        <v>1908</v>
      </c>
      <c r="I15" s="81">
        <v>325</v>
      </c>
      <c r="J15" s="81">
        <v>79</v>
      </c>
      <c r="K15" s="81">
        <v>246</v>
      </c>
      <c r="L15" s="81">
        <v>325</v>
      </c>
      <c r="M15" s="81">
        <v>325</v>
      </c>
      <c r="N15" s="81">
        <v>246</v>
      </c>
      <c r="O15" s="81">
        <v>382</v>
      </c>
      <c r="P15" s="81">
        <v>382</v>
      </c>
      <c r="Q15" s="81">
        <v>382</v>
      </c>
      <c r="R15" s="81">
        <v>382</v>
      </c>
    </row>
    <row r="16" spans="1:21" ht="15.75" x14ac:dyDescent="0.25">
      <c r="A16" s="80">
        <v>11</v>
      </c>
      <c r="B16" s="567" t="s">
        <v>351</v>
      </c>
      <c r="C16" s="87" t="s">
        <v>64</v>
      </c>
      <c r="D16" s="81">
        <v>2758</v>
      </c>
      <c r="E16" s="81">
        <v>1230</v>
      </c>
      <c r="F16" s="81">
        <v>345</v>
      </c>
      <c r="G16" s="81">
        <v>885</v>
      </c>
      <c r="H16" s="81">
        <v>1528</v>
      </c>
      <c r="I16" s="81">
        <v>246</v>
      </c>
      <c r="J16" s="81">
        <v>69</v>
      </c>
      <c r="K16" s="81">
        <v>177</v>
      </c>
      <c r="L16" s="81">
        <v>246</v>
      </c>
      <c r="M16" s="81">
        <v>246</v>
      </c>
      <c r="N16" s="81">
        <v>177</v>
      </c>
      <c r="O16" s="81">
        <v>306</v>
      </c>
      <c r="P16" s="81">
        <v>306</v>
      </c>
      <c r="Q16" s="81">
        <v>306</v>
      </c>
      <c r="R16" s="81">
        <v>306</v>
      </c>
    </row>
    <row r="17" spans="1:18" ht="15.75" x14ac:dyDescent="0.25">
      <c r="A17" s="80">
        <v>12</v>
      </c>
      <c r="B17" s="567" t="s">
        <v>352</v>
      </c>
      <c r="C17" s="87" t="s">
        <v>28</v>
      </c>
      <c r="D17" s="81">
        <v>14959</v>
      </c>
      <c r="E17" s="81">
        <v>7709</v>
      </c>
      <c r="F17" s="81">
        <v>1766</v>
      </c>
      <c r="G17" s="81">
        <v>5943</v>
      </c>
      <c r="H17" s="81">
        <v>7250</v>
      </c>
      <c r="I17" s="81">
        <v>1542</v>
      </c>
      <c r="J17" s="81">
        <v>353</v>
      </c>
      <c r="K17" s="81">
        <v>1189</v>
      </c>
      <c r="L17" s="81">
        <v>1542</v>
      </c>
      <c r="M17" s="81">
        <v>1542</v>
      </c>
      <c r="N17" s="81">
        <v>1189</v>
      </c>
      <c r="O17" s="81">
        <v>1450</v>
      </c>
      <c r="P17" s="81">
        <v>1450</v>
      </c>
      <c r="Q17" s="81">
        <v>1450</v>
      </c>
      <c r="R17" s="81">
        <v>1450</v>
      </c>
    </row>
    <row r="18" spans="1:18" ht="15.75" x14ac:dyDescent="0.25">
      <c r="A18" s="80">
        <v>13</v>
      </c>
      <c r="B18" s="567" t="s">
        <v>353</v>
      </c>
      <c r="C18" s="87" t="s">
        <v>116</v>
      </c>
      <c r="D18" s="81">
        <v>2126</v>
      </c>
      <c r="E18" s="81">
        <v>836</v>
      </c>
      <c r="F18" s="81">
        <v>97</v>
      </c>
      <c r="G18" s="81">
        <v>739</v>
      </c>
      <c r="H18" s="81">
        <v>1290</v>
      </c>
      <c r="I18" s="81">
        <v>167</v>
      </c>
      <c r="J18" s="81">
        <v>19</v>
      </c>
      <c r="K18" s="81">
        <v>148</v>
      </c>
      <c r="L18" s="81">
        <v>167</v>
      </c>
      <c r="M18" s="81">
        <v>167</v>
      </c>
      <c r="N18" s="81">
        <v>148</v>
      </c>
      <c r="O18" s="81">
        <v>258</v>
      </c>
      <c r="P18" s="81">
        <v>258</v>
      </c>
      <c r="Q18" s="81">
        <v>258</v>
      </c>
      <c r="R18" s="81">
        <v>258</v>
      </c>
    </row>
    <row r="19" spans="1:18" ht="15.75" x14ac:dyDescent="0.25">
      <c r="A19" s="80">
        <v>14</v>
      </c>
      <c r="B19" s="567" t="s">
        <v>354</v>
      </c>
      <c r="C19" s="87" t="s">
        <v>114</v>
      </c>
      <c r="D19" s="81">
        <v>1434</v>
      </c>
      <c r="E19" s="81">
        <v>637</v>
      </c>
      <c r="F19" s="81">
        <v>178</v>
      </c>
      <c r="G19" s="81">
        <v>459</v>
      </c>
      <c r="H19" s="81">
        <v>797</v>
      </c>
      <c r="I19" s="81">
        <v>128</v>
      </c>
      <c r="J19" s="81">
        <v>36</v>
      </c>
      <c r="K19" s="81">
        <v>92</v>
      </c>
      <c r="L19" s="81">
        <v>128</v>
      </c>
      <c r="M19" s="81">
        <v>128</v>
      </c>
      <c r="N19" s="81">
        <v>92</v>
      </c>
      <c r="O19" s="81">
        <v>159</v>
      </c>
      <c r="P19" s="81">
        <v>159</v>
      </c>
      <c r="Q19" s="81">
        <v>159</v>
      </c>
      <c r="R19" s="81">
        <v>159</v>
      </c>
    </row>
    <row r="20" spans="1:18" ht="15.75" x14ac:dyDescent="0.25">
      <c r="A20" s="80">
        <v>15</v>
      </c>
      <c r="B20" s="567" t="s">
        <v>355</v>
      </c>
      <c r="C20" s="87" t="s">
        <v>98</v>
      </c>
      <c r="D20" s="81">
        <v>16719</v>
      </c>
      <c r="E20" s="81">
        <v>8848</v>
      </c>
      <c r="F20" s="81">
        <v>2517</v>
      </c>
      <c r="G20" s="81">
        <v>6331</v>
      </c>
      <c r="H20" s="81">
        <v>7871</v>
      </c>
      <c r="I20" s="81">
        <v>1769</v>
      </c>
      <c r="J20" s="81">
        <v>503</v>
      </c>
      <c r="K20" s="81">
        <v>1266</v>
      </c>
      <c r="L20" s="81">
        <v>1769</v>
      </c>
      <c r="M20" s="81">
        <v>1769</v>
      </c>
      <c r="N20" s="81">
        <v>1266</v>
      </c>
      <c r="O20" s="81">
        <v>1574</v>
      </c>
      <c r="P20" s="81">
        <v>1574</v>
      </c>
      <c r="Q20" s="81">
        <v>1574</v>
      </c>
      <c r="R20" s="81">
        <v>1574</v>
      </c>
    </row>
    <row r="21" spans="1:18" ht="15.75" x14ac:dyDescent="0.25">
      <c r="A21" s="80">
        <v>16</v>
      </c>
      <c r="B21" s="567" t="s">
        <v>356</v>
      </c>
      <c r="C21" s="87" t="s">
        <v>76</v>
      </c>
      <c r="D21" s="81">
        <v>3542</v>
      </c>
      <c r="E21" s="81">
        <v>1632</v>
      </c>
      <c r="F21" s="81">
        <v>470</v>
      </c>
      <c r="G21" s="81">
        <v>1162</v>
      </c>
      <c r="H21" s="81">
        <v>1910</v>
      </c>
      <c r="I21" s="81">
        <v>326</v>
      </c>
      <c r="J21" s="81">
        <v>94</v>
      </c>
      <c r="K21" s="81">
        <v>232</v>
      </c>
      <c r="L21" s="81">
        <v>326</v>
      </c>
      <c r="M21" s="81">
        <v>326</v>
      </c>
      <c r="N21" s="81">
        <v>232</v>
      </c>
      <c r="O21" s="81">
        <v>382</v>
      </c>
      <c r="P21" s="81">
        <v>382</v>
      </c>
      <c r="Q21" s="81">
        <v>382</v>
      </c>
      <c r="R21" s="81">
        <v>382</v>
      </c>
    </row>
    <row r="22" spans="1:18" ht="15.75" x14ac:dyDescent="0.25">
      <c r="A22" s="80">
        <v>17</v>
      </c>
      <c r="B22" s="567" t="s">
        <v>357</v>
      </c>
      <c r="C22" s="87" t="s">
        <v>22</v>
      </c>
      <c r="D22" s="81">
        <v>8120</v>
      </c>
      <c r="E22" s="81">
        <v>4326</v>
      </c>
      <c r="F22" s="81">
        <v>1217</v>
      </c>
      <c r="G22" s="81">
        <v>3109</v>
      </c>
      <c r="H22" s="81">
        <v>3794</v>
      </c>
      <c r="I22" s="81">
        <v>865</v>
      </c>
      <c r="J22" s="81">
        <v>243</v>
      </c>
      <c r="K22" s="81">
        <v>622</v>
      </c>
      <c r="L22" s="81">
        <v>865</v>
      </c>
      <c r="M22" s="81">
        <v>865</v>
      </c>
      <c r="N22" s="81">
        <v>622</v>
      </c>
      <c r="O22" s="81">
        <v>759</v>
      </c>
      <c r="P22" s="81">
        <v>759</v>
      </c>
      <c r="Q22" s="81">
        <v>759</v>
      </c>
      <c r="R22" s="81">
        <v>759</v>
      </c>
    </row>
    <row r="23" spans="1:18" ht="15.75" x14ac:dyDescent="0.25">
      <c r="A23" s="80">
        <v>18</v>
      </c>
      <c r="B23" s="567" t="s">
        <v>358</v>
      </c>
      <c r="C23" s="87" t="s">
        <v>92</v>
      </c>
      <c r="D23" s="81">
        <v>44346</v>
      </c>
      <c r="E23" s="81">
        <v>23282</v>
      </c>
      <c r="F23" s="81">
        <v>6549</v>
      </c>
      <c r="G23" s="81">
        <v>16733</v>
      </c>
      <c r="H23" s="81">
        <v>21064</v>
      </c>
      <c r="I23" s="81">
        <v>4657</v>
      </c>
      <c r="J23" s="81">
        <v>1310</v>
      </c>
      <c r="K23" s="81">
        <v>3347</v>
      </c>
      <c r="L23" s="81">
        <v>4657</v>
      </c>
      <c r="M23" s="81">
        <v>4657</v>
      </c>
      <c r="N23" s="81">
        <v>3347</v>
      </c>
      <c r="O23" s="81">
        <v>4213</v>
      </c>
      <c r="P23" s="81">
        <v>4213</v>
      </c>
      <c r="Q23" s="81">
        <v>4213</v>
      </c>
      <c r="R23" s="81">
        <v>4213</v>
      </c>
    </row>
    <row r="24" spans="1:18" ht="15.75" x14ac:dyDescent="0.25">
      <c r="A24" s="80">
        <v>19</v>
      </c>
      <c r="B24" s="567" t="s">
        <v>359</v>
      </c>
      <c r="C24" s="87" t="s">
        <v>104</v>
      </c>
      <c r="D24" s="81">
        <v>3731</v>
      </c>
      <c r="E24" s="81">
        <v>1658</v>
      </c>
      <c r="F24" s="81">
        <v>464</v>
      </c>
      <c r="G24" s="81">
        <v>1194</v>
      </c>
      <c r="H24" s="81">
        <v>2073</v>
      </c>
      <c r="I24" s="81">
        <v>332</v>
      </c>
      <c r="J24" s="81">
        <v>93</v>
      </c>
      <c r="K24" s="81">
        <v>239</v>
      </c>
      <c r="L24" s="81">
        <v>332</v>
      </c>
      <c r="M24" s="81">
        <v>332</v>
      </c>
      <c r="N24" s="81">
        <v>239</v>
      </c>
      <c r="O24" s="81">
        <v>415</v>
      </c>
      <c r="P24" s="81">
        <v>415</v>
      </c>
      <c r="Q24" s="81">
        <v>415</v>
      </c>
      <c r="R24" s="81">
        <v>415</v>
      </c>
    </row>
    <row r="25" spans="1:18" ht="15.75" x14ac:dyDescent="0.25">
      <c r="A25" s="80">
        <v>20</v>
      </c>
      <c r="B25" s="567" t="s">
        <v>360</v>
      </c>
      <c r="C25" s="87" t="s">
        <v>110</v>
      </c>
      <c r="D25" s="81">
        <v>1772</v>
      </c>
      <c r="E25" s="81">
        <v>803</v>
      </c>
      <c r="F25" s="81">
        <v>222</v>
      </c>
      <c r="G25" s="81">
        <v>581</v>
      </c>
      <c r="H25" s="81">
        <v>969</v>
      </c>
      <c r="I25" s="81">
        <v>160</v>
      </c>
      <c r="J25" s="81">
        <v>44</v>
      </c>
      <c r="K25" s="81">
        <v>116</v>
      </c>
      <c r="L25" s="81">
        <v>160</v>
      </c>
      <c r="M25" s="81">
        <v>160</v>
      </c>
      <c r="N25" s="81">
        <v>116</v>
      </c>
      <c r="O25" s="81">
        <v>194</v>
      </c>
      <c r="P25" s="81">
        <v>194</v>
      </c>
      <c r="Q25" s="81">
        <v>194</v>
      </c>
      <c r="R25" s="81">
        <v>194</v>
      </c>
    </row>
    <row r="26" spans="1:18" ht="15.75" x14ac:dyDescent="0.25">
      <c r="A26" s="80">
        <v>21</v>
      </c>
      <c r="B26" s="567" t="s">
        <v>361</v>
      </c>
      <c r="C26" s="87" t="s">
        <v>112</v>
      </c>
      <c r="D26" s="81">
        <v>3322</v>
      </c>
      <c r="E26" s="81">
        <v>1481</v>
      </c>
      <c r="F26" s="81">
        <v>392</v>
      </c>
      <c r="G26" s="81">
        <v>1089</v>
      </c>
      <c r="H26" s="81">
        <v>1841</v>
      </c>
      <c r="I26" s="81">
        <v>296</v>
      </c>
      <c r="J26" s="81">
        <v>78</v>
      </c>
      <c r="K26" s="81">
        <v>218</v>
      </c>
      <c r="L26" s="81">
        <v>296</v>
      </c>
      <c r="M26" s="81">
        <v>296</v>
      </c>
      <c r="N26" s="81">
        <v>218</v>
      </c>
      <c r="O26" s="81">
        <v>368</v>
      </c>
      <c r="P26" s="81">
        <v>368</v>
      </c>
      <c r="Q26" s="81">
        <v>368</v>
      </c>
      <c r="R26" s="81">
        <v>368</v>
      </c>
    </row>
    <row r="27" spans="1:18" ht="15.75" x14ac:dyDescent="0.25">
      <c r="A27" s="80">
        <v>22</v>
      </c>
      <c r="B27" s="567" t="s">
        <v>362</v>
      </c>
      <c r="C27" s="87" t="s">
        <v>136</v>
      </c>
      <c r="D27" s="81">
        <v>16919</v>
      </c>
      <c r="E27" s="81">
        <v>8499</v>
      </c>
      <c r="F27" s="81">
        <v>2199</v>
      </c>
      <c r="G27" s="81">
        <v>6300</v>
      </c>
      <c r="H27" s="81">
        <v>8420</v>
      </c>
      <c r="I27" s="81">
        <v>1700</v>
      </c>
      <c r="J27" s="81">
        <v>440</v>
      </c>
      <c r="K27" s="81">
        <v>1260</v>
      </c>
      <c r="L27" s="81">
        <v>1700</v>
      </c>
      <c r="M27" s="81">
        <v>1700</v>
      </c>
      <c r="N27" s="81">
        <v>1260</v>
      </c>
      <c r="O27" s="81">
        <v>1684</v>
      </c>
      <c r="P27" s="81">
        <v>1684</v>
      </c>
      <c r="Q27" s="81">
        <v>1684</v>
      </c>
      <c r="R27" s="81">
        <v>1684</v>
      </c>
    </row>
    <row r="28" spans="1:18" ht="15.75" x14ac:dyDescent="0.25">
      <c r="A28" s="80">
        <v>23</v>
      </c>
      <c r="B28" s="567" t="s">
        <v>363</v>
      </c>
      <c r="C28" s="87" t="s">
        <v>140</v>
      </c>
      <c r="D28" s="81">
        <v>2223</v>
      </c>
      <c r="E28" s="81">
        <v>948</v>
      </c>
      <c r="F28" s="81">
        <v>257</v>
      </c>
      <c r="G28" s="81">
        <v>691</v>
      </c>
      <c r="H28" s="81">
        <v>1275</v>
      </c>
      <c r="I28" s="81">
        <v>189</v>
      </c>
      <c r="J28" s="81">
        <v>51</v>
      </c>
      <c r="K28" s="81">
        <v>138</v>
      </c>
      <c r="L28" s="81">
        <v>189</v>
      </c>
      <c r="M28" s="81">
        <v>189</v>
      </c>
      <c r="N28" s="81">
        <v>138</v>
      </c>
      <c r="O28" s="81">
        <v>255</v>
      </c>
      <c r="P28" s="81">
        <v>255</v>
      </c>
      <c r="Q28" s="81">
        <v>255</v>
      </c>
      <c r="R28" s="81">
        <v>255</v>
      </c>
    </row>
    <row r="29" spans="1:18" ht="15.75" x14ac:dyDescent="0.25">
      <c r="A29" s="80">
        <v>24</v>
      </c>
      <c r="B29" s="567" t="s">
        <v>364</v>
      </c>
      <c r="C29" s="87" t="s">
        <v>186</v>
      </c>
      <c r="D29" s="81">
        <v>16783</v>
      </c>
      <c r="E29" s="81">
        <v>8785</v>
      </c>
      <c r="F29" s="81">
        <v>2275</v>
      </c>
      <c r="G29" s="81">
        <v>6510</v>
      </c>
      <c r="H29" s="81">
        <v>7998</v>
      </c>
      <c r="I29" s="81">
        <v>1757</v>
      </c>
      <c r="J29" s="81">
        <v>455</v>
      </c>
      <c r="K29" s="81">
        <v>1302</v>
      </c>
      <c r="L29" s="81">
        <v>1757</v>
      </c>
      <c r="M29" s="81">
        <v>1757</v>
      </c>
      <c r="N29" s="81">
        <v>1302</v>
      </c>
      <c r="O29" s="81">
        <v>1600</v>
      </c>
      <c r="P29" s="81">
        <v>1600</v>
      </c>
      <c r="Q29" s="81">
        <v>1600</v>
      </c>
      <c r="R29" s="81">
        <v>1600</v>
      </c>
    </row>
    <row r="30" spans="1:18" ht="15.75" x14ac:dyDescent="0.25">
      <c r="A30" s="80">
        <v>25</v>
      </c>
      <c r="B30" s="567" t="s">
        <v>365</v>
      </c>
      <c r="C30" s="87" t="s">
        <v>86</v>
      </c>
      <c r="D30" s="81">
        <v>8681</v>
      </c>
      <c r="E30" s="81">
        <v>4229</v>
      </c>
      <c r="F30" s="81">
        <v>1010</v>
      </c>
      <c r="G30" s="81">
        <v>3219</v>
      </c>
      <c r="H30" s="81">
        <v>4452</v>
      </c>
      <c r="I30" s="81">
        <v>846</v>
      </c>
      <c r="J30" s="81">
        <v>202</v>
      </c>
      <c r="K30" s="81">
        <v>644</v>
      </c>
      <c r="L30" s="81">
        <v>846</v>
      </c>
      <c r="M30" s="81">
        <v>846</v>
      </c>
      <c r="N30" s="81">
        <v>644</v>
      </c>
      <c r="O30" s="81">
        <v>890</v>
      </c>
      <c r="P30" s="81">
        <v>890</v>
      </c>
      <c r="Q30" s="81">
        <v>890</v>
      </c>
      <c r="R30" s="81">
        <v>890</v>
      </c>
    </row>
    <row r="31" spans="1:18" ht="15.75" x14ac:dyDescent="0.25">
      <c r="A31" s="80">
        <v>26</v>
      </c>
      <c r="B31" s="567" t="s">
        <v>366</v>
      </c>
      <c r="C31" s="87" t="s">
        <v>230</v>
      </c>
      <c r="D31" s="81">
        <v>5792</v>
      </c>
      <c r="E31" s="81">
        <v>2771</v>
      </c>
      <c r="F31" s="81">
        <v>638</v>
      </c>
      <c r="G31" s="81">
        <v>2133</v>
      </c>
      <c r="H31" s="81">
        <v>3021</v>
      </c>
      <c r="I31" s="81">
        <v>555</v>
      </c>
      <c r="J31" s="81">
        <v>128</v>
      </c>
      <c r="K31" s="81">
        <v>427</v>
      </c>
      <c r="L31" s="81">
        <v>555</v>
      </c>
      <c r="M31" s="81">
        <v>555</v>
      </c>
      <c r="N31" s="81">
        <v>427</v>
      </c>
      <c r="O31" s="81">
        <v>604</v>
      </c>
      <c r="P31" s="81">
        <v>604</v>
      </c>
      <c r="Q31" s="81">
        <v>604</v>
      </c>
      <c r="R31" s="81">
        <v>604</v>
      </c>
    </row>
    <row r="32" spans="1:18" ht="15.75" x14ac:dyDescent="0.25">
      <c r="A32" s="80">
        <v>27</v>
      </c>
      <c r="B32" s="567" t="s">
        <v>367</v>
      </c>
      <c r="C32" s="87" t="s">
        <v>80</v>
      </c>
      <c r="D32" s="81">
        <v>6609</v>
      </c>
      <c r="E32" s="81">
        <v>3034</v>
      </c>
      <c r="F32" s="81">
        <v>819</v>
      </c>
      <c r="G32" s="81">
        <v>2215</v>
      </c>
      <c r="H32" s="81">
        <v>3575</v>
      </c>
      <c r="I32" s="81">
        <v>607</v>
      </c>
      <c r="J32" s="81">
        <v>164</v>
      </c>
      <c r="K32" s="81">
        <v>443</v>
      </c>
      <c r="L32" s="81">
        <v>607</v>
      </c>
      <c r="M32" s="81">
        <v>607</v>
      </c>
      <c r="N32" s="81">
        <v>443</v>
      </c>
      <c r="O32" s="81">
        <v>715</v>
      </c>
      <c r="P32" s="81">
        <v>715</v>
      </c>
      <c r="Q32" s="81">
        <v>715</v>
      </c>
      <c r="R32" s="81">
        <v>715</v>
      </c>
    </row>
    <row r="33" spans="1:18" ht="15.75" x14ac:dyDescent="0.25">
      <c r="A33" s="80">
        <v>28</v>
      </c>
      <c r="B33" s="567" t="s">
        <v>368</v>
      </c>
      <c r="C33" s="87" t="s">
        <v>124</v>
      </c>
      <c r="D33" s="81">
        <v>2798</v>
      </c>
      <c r="E33" s="81">
        <v>1282</v>
      </c>
      <c r="F33" s="81">
        <v>338</v>
      </c>
      <c r="G33" s="81">
        <v>944</v>
      </c>
      <c r="H33" s="81">
        <v>1516</v>
      </c>
      <c r="I33" s="81">
        <v>257</v>
      </c>
      <c r="J33" s="81">
        <v>68</v>
      </c>
      <c r="K33" s="81">
        <v>189</v>
      </c>
      <c r="L33" s="81">
        <v>257</v>
      </c>
      <c r="M33" s="81">
        <v>257</v>
      </c>
      <c r="N33" s="81">
        <v>189</v>
      </c>
      <c r="O33" s="81">
        <v>303</v>
      </c>
      <c r="P33" s="81">
        <v>303</v>
      </c>
      <c r="Q33" s="81">
        <v>303</v>
      </c>
      <c r="R33" s="81">
        <v>303</v>
      </c>
    </row>
    <row r="34" spans="1:18" ht="15.75" x14ac:dyDescent="0.25">
      <c r="A34" s="80">
        <v>29</v>
      </c>
      <c r="B34" s="567" t="s">
        <v>369</v>
      </c>
      <c r="C34" s="87" t="s">
        <v>142</v>
      </c>
      <c r="D34" s="81">
        <v>2585</v>
      </c>
      <c r="E34" s="81">
        <v>1206</v>
      </c>
      <c r="F34" s="81">
        <v>320</v>
      </c>
      <c r="G34" s="81">
        <v>886</v>
      </c>
      <c r="H34" s="81">
        <v>1379</v>
      </c>
      <c r="I34" s="81">
        <v>241</v>
      </c>
      <c r="J34" s="81">
        <v>64</v>
      </c>
      <c r="K34" s="81">
        <v>177</v>
      </c>
      <c r="L34" s="81">
        <v>241</v>
      </c>
      <c r="M34" s="81">
        <v>241</v>
      </c>
      <c r="N34" s="81">
        <v>177</v>
      </c>
      <c r="O34" s="81">
        <v>276</v>
      </c>
      <c r="P34" s="81">
        <v>276</v>
      </c>
      <c r="Q34" s="81">
        <v>276</v>
      </c>
      <c r="R34" s="81">
        <v>276</v>
      </c>
    </row>
    <row r="35" spans="1:18" ht="15.75" x14ac:dyDescent="0.25">
      <c r="A35" s="80">
        <v>30</v>
      </c>
      <c r="B35" s="567" t="s">
        <v>370</v>
      </c>
      <c r="C35" s="87" t="s">
        <v>84</v>
      </c>
      <c r="D35" s="81">
        <v>1615</v>
      </c>
      <c r="E35" s="81">
        <v>731</v>
      </c>
      <c r="F35" s="81">
        <v>200</v>
      </c>
      <c r="G35" s="81">
        <v>531</v>
      </c>
      <c r="H35" s="81">
        <v>884</v>
      </c>
      <c r="I35" s="81">
        <v>146</v>
      </c>
      <c r="J35" s="81">
        <v>40</v>
      </c>
      <c r="K35" s="81">
        <v>106</v>
      </c>
      <c r="L35" s="81">
        <v>146</v>
      </c>
      <c r="M35" s="81">
        <v>146</v>
      </c>
      <c r="N35" s="81">
        <v>106</v>
      </c>
      <c r="O35" s="81">
        <v>177</v>
      </c>
      <c r="P35" s="81">
        <v>177</v>
      </c>
      <c r="Q35" s="81">
        <v>177</v>
      </c>
      <c r="R35" s="81">
        <v>177</v>
      </c>
    </row>
    <row r="36" spans="1:18" ht="15.75" x14ac:dyDescent="0.25">
      <c r="A36" s="80">
        <v>31</v>
      </c>
      <c r="B36" s="567" t="s">
        <v>371</v>
      </c>
      <c r="C36" s="87" t="s">
        <v>60</v>
      </c>
      <c r="D36" s="81">
        <v>2552</v>
      </c>
      <c r="E36" s="81">
        <v>1181</v>
      </c>
      <c r="F36" s="81">
        <v>296</v>
      </c>
      <c r="G36" s="81">
        <v>885</v>
      </c>
      <c r="H36" s="81">
        <v>1371</v>
      </c>
      <c r="I36" s="81">
        <v>236</v>
      </c>
      <c r="J36" s="81">
        <v>59</v>
      </c>
      <c r="K36" s="81">
        <v>177</v>
      </c>
      <c r="L36" s="81">
        <v>236</v>
      </c>
      <c r="M36" s="81">
        <v>236</v>
      </c>
      <c r="N36" s="81">
        <v>177</v>
      </c>
      <c r="O36" s="81">
        <v>274</v>
      </c>
      <c r="P36" s="81">
        <v>274</v>
      </c>
      <c r="Q36" s="81">
        <v>274</v>
      </c>
      <c r="R36" s="81">
        <v>274</v>
      </c>
    </row>
    <row r="37" spans="1:18" ht="15.75" x14ac:dyDescent="0.25">
      <c r="A37" s="80">
        <v>32</v>
      </c>
      <c r="B37" s="567" t="s">
        <v>372</v>
      </c>
      <c r="C37" s="87" t="s">
        <v>56</v>
      </c>
      <c r="D37" s="81">
        <v>1990</v>
      </c>
      <c r="E37" s="81">
        <v>894</v>
      </c>
      <c r="F37" s="81">
        <v>230</v>
      </c>
      <c r="G37" s="81">
        <v>664</v>
      </c>
      <c r="H37" s="81">
        <v>1096</v>
      </c>
      <c r="I37" s="81">
        <v>179</v>
      </c>
      <c r="J37" s="81">
        <v>46</v>
      </c>
      <c r="K37" s="81">
        <v>133</v>
      </c>
      <c r="L37" s="81">
        <v>179</v>
      </c>
      <c r="M37" s="81">
        <v>179</v>
      </c>
      <c r="N37" s="81">
        <v>133</v>
      </c>
      <c r="O37" s="81">
        <v>219</v>
      </c>
      <c r="P37" s="81">
        <v>219</v>
      </c>
      <c r="Q37" s="81">
        <v>219</v>
      </c>
      <c r="R37" s="81">
        <v>219</v>
      </c>
    </row>
    <row r="38" spans="1:18" ht="15.75" x14ac:dyDescent="0.25">
      <c r="A38" s="80">
        <v>33</v>
      </c>
      <c r="B38" s="567" t="s">
        <v>373</v>
      </c>
      <c r="C38" s="87" t="s">
        <v>72</v>
      </c>
      <c r="D38" s="81">
        <v>5082</v>
      </c>
      <c r="E38" s="81">
        <v>2444</v>
      </c>
      <c r="F38" s="81">
        <v>530</v>
      </c>
      <c r="G38" s="81">
        <v>1914</v>
      </c>
      <c r="H38" s="81">
        <v>2638</v>
      </c>
      <c r="I38" s="81">
        <v>489</v>
      </c>
      <c r="J38" s="81">
        <v>106</v>
      </c>
      <c r="K38" s="81">
        <v>383</v>
      </c>
      <c r="L38" s="81">
        <v>489</v>
      </c>
      <c r="M38" s="81">
        <v>489</v>
      </c>
      <c r="N38" s="81">
        <v>383</v>
      </c>
      <c r="O38" s="81">
        <v>528</v>
      </c>
      <c r="P38" s="81">
        <v>528</v>
      </c>
      <c r="Q38" s="81">
        <v>528</v>
      </c>
      <c r="R38" s="81">
        <v>528</v>
      </c>
    </row>
    <row r="39" spans="1:18" ht="15.75" x14ac:dyDescent="0.25">
      <c r="A39" s="80">
        <v>34</v>
      </c>
      <c r="B39" s="567" t="s">
        <v>374</v>
      </c>
      <c r="C39" s="87" t="s">
        <v>208</v>
      </c>
      <c r="D39" s="81">
        <v>5990</v>
      </c>
      <c r="E39" s="81">
        <f>3019-1</f>
        <v>3018</v>
      </c>
      <c r="F39" s="81">
        <f>749-1</f>
        <v>748</v>
      </c>
      <c r="G39" s="81">
        <v>2270</v>
      </c>
      <c r="H39" s="81">
        <f>2971+1</f>
        <v>2972</v>
      </c>
      <c r="I39" s="81">
        <v>604</v>
      </c>
      <c r="J39" s="81">
        <v>150</v>
      </c>
      <c r="K39" s="81">
        <v>454</v>
      </c>
      <c r="L39" s="81">
        <v>604</v>
      </c>
      <c r="M39" s="81">
        <v>604</v>
      </c>
      <c r="N39" s="81">
        <v>454</v>
      </c>
      <c r="O39" s="81">
        <v>594</v>
      </c>
      <c r="P39" s="81">
        <v>594</v>
      </c>
      <c r="Q39" s="81">
        <v>594</v>
      </c>
      <c r="R39" s="81">
        <v>594</v>
      </c>
    </row>
    <row r="40" spans="1:18" ht="15.75" x14ac:dyDescent="0.25">
      <c r="A40" s="80">
        <v>35</v>
      </c>
      <c r="B40" s="567" t="s">
        <v>375</v>
      </c>
      <c r="C40" s="87" t="s">
        <v>218</v>
      </c>
      <c r="D40" s="81">
        <v>8650</v>
      </c>
      <c r="E40" s="81">
        <v>4232</v>
      </c>
      <c r="F40" s="81">
        <v>1043</v>
      </c>
      <c r="G40" s="81">
        <v>3189</v>
      </c>
      <c r="H40" s="81">
        <v>4418</v>
      </c>
      <c r="I40" s="81">
        <v>847</v>
      </c>
      <c r="J40" s="81">
        <v>209</v>
      </c>
      <c r="K40" s="81">
        <v>638</v>
      </c>
      <c r="L40" s="81">
        <v>847</v>
      </c>
      <c r="M40" s="81">
        <v>847</v>
      </c>
      <c r="N40" s="81">
        <v>638</v>
      </c>
      <c r="O40" s="81">
        <v>884</v>
      </c>
      <c r="P40" s="81">
        <v>884</v>
      </c>
      <c r="Q40" s="81">
        <v>884</v>
      </c>
      <c r="R40" s="81">
        <v>884</v>
      </c>
    </row>
    <row r="41" spans="1:18" ht="15.75" x14ac:dyDescent="0.25">
      <c r="A41" s="80">
        <v>36</v>
      </c>
      <c r="B41" s="567" t="s">
        <v>376</v>
      </c>
      <c r="C41" s="87" t="s">
        <v>214</v>
      </c>
      <c r="D41" s="81">
        <v>6821</v>
      </c>
      <c r="E41" s="81">
        <v>3362</v>
      </c>
      <c r="F41" s="81">
        <v>859</v>
      </c>
      <c r="G41" s="81">
        <v>2503</v>
      </c>
      <c r="H41" s="81">
        <v>3459</v>
      </c>
      <c r="I41" s="81">
        <v>673</v>
      </c>
      <c r="J41" s="81">
        <v>172</v>
      </c>
      <c r="K41" s="81">
        <v>501</v>
      </c>
      <c r="L41" s="81">
        <v>673</v>
      </c>
      <c r="M41" s="81">
        <v>673</v>
      </c>
      <c r="N41" s="81">
        <v>501</v>
      </c>
      <c r="O41" s="81">
        <v>692</v>
      </c>
      <c r="P41" s="81">
        <v>692</v>
      </c>
      <c r="Q41" s="81">
        <v>692</v>
      </c>
      <c r="R41" s="81">
        <v>692</v>
      </c>
    </row>
    <row r="42" spans="1:18" ht="15.75" x14ac:dyDescent="0.25">
      <c r="A42" s="80">
        <v>37</v>
      </c>
      <c r="B42" s="567" t="s">
        <v>377</v>
      </c>
      <c r="C42" s="87" t="s">
        <v>228</v>
      </c>
      <c r="D42" s="81">
        <v>2110</v>
      </c>
      <c r="E42" s="81">
        <v>967</v>
      </c>
      <c r="F42" s="81">
        <v>225</v>
      </c>
      <c r="G42" s="81">
        <v>742</v>
      </c>
      <c r="H42" s="81">
        <v>1143</v>
      </c>
      <c r="I42" s="81">
        <v>193</v>
      </c>
      <c r="J42" s="81">
        <v>45</v>
      </c>
      <c r="K42" s="81">
        <v>148</v>
      </c>
      <c r="L42" s="81">
        <v>193</v>
      </c>
      <c r="M42" s="81">
        <v>193</v>
      </c>
      <c r="N42" s="81">
        <v>148</v>
      </c>
      <c r="O42" s="81">
        <v>229</v>
      </c>
      <c r="P42" s="81">
        <v>229</v>
      </c>
      <c r="Q42" s="81">
        <v>229</v>
      </c>
      <c r="R42" s="81">
        <v>229</v>
      </c>
    </row>
    <row r="43" spans="1:18" ht="15.75" x14ac:dyDescent="0.25">
      <c r="A43" s="80">
        <v>38</v>
      </c>
      <c r="B43" s="567" t="s">
        <v>378</v>
      </c>
      <c r="C43" s="87" t="s">
        <v>210</v>
      </c>
      <c r="D43" s="81">
        <v>1912</v>
      </c>
      <c r="E43" s="81">
        <v>835</v>
      </c>
      <c r="F43" s="81">
        <v>203</v>
      </c>
      <c r="G43" s="81">
        <v>632</v>
      </c>
      <c r="H43" s="81">
        <v>1077</v>
      </c>
      <c r="I43" s="81">
        <v>167</v>
      </c>
      <c r="J43" s="81">
        <v>41</v>
      </c>
      <c r="K43" s="81">
        <v>126</v>
      </c>
      <c r="L43" s="81">
        <v>167</v>
      </c>
      <c r="M43" s="81">
        <v>167</v>
      </c>
      <c r="N43" s="81">
        <v>126</v>
      </c>
      <c r="O43" s="81">
        <v>215</v>
      </c>
      <c r="P43" s="81">
        <v>215</v>
      </c>
      <c r="Q43" s="81">
        <v>215</v>
      </c>
      <c r="R43" s="81">
        <v>215</v>
      </c>
    </row>
    <row r="44" spans="1:18" ht="15.75" x14ac:dyDescent="0.25">
      <c r="A44" s="80">
        <v>39</v>
      </c>
      <c r="B44" s="567" t="s">
        <v>379</v>
      </c>
      <c r="C44" s="87" t="s">
        <v>220</v>
      </c>
      <c r="D44" s="81">
        <v>5703</v>
      </c>
      <c r="E44" s="81">
        <v>2706</v>
      </c>
      <c r="F44" s="81">
        <v>687</v>
      </c>
      <c r="G44" s="81">
        <v>2019</v>
      </c>
      <c r="H44" s="81">
        <v>2997</v>
      </c>
      <c r="I44" s="81">
        <v>541</v>
      </c>
      <c r="J44" s="81">
        <v>137</v>
      </c>
      <c r="K44" s="81">
        <v>404</v>
      </c>
      <c r="L44" s="81">
        <v>541</v>
      </c>
      <c r="M44" s="81">
        <v>541</v>
      </c>
      <c r="N44" s="81">
        <v>404</v>
      </c>
      <c r="O44" s="81">
        <v>599</v>
      </c>
      <c r="P44" s="81">
        <v>599</v>
      </c>
      <c r="Q44" s="81">
        <v>599</v>
      </c>
      <c r="R44" s="81">
        <v>599</v>
      </c>
    </row>
    <row r="45" spans="1:18" ht="15.75" x14ac:dyDescent="0.25">
      <c r="A45" s="80">
        <v>40</v>
      </c>
      <c r="B45" s="567" t="s">
        <v>380</v>
      </c>
      <c r="C45" s="87" t="s">
        <v>224</v>
      </c>
      <c r="D45" s="81">
        <v>2734</v>
      </c>
      <c r="E45" s="81">
        <v>1332</v>
      </c>
      <c r="F45" s="81">
        <v>337</v>
      </c>
      <c r="G45" s="81">
        <v>995</v>
      </c>
      <c r="H45" s="81">
        <v>1402</v>
      </c>
      <c r="I45" s="81">
        <v>266</v>
      </c>
      <c r="J45" s="81">
        <v>67</v>
      </c>
      <c r="K45" s="81">
        <v>199</v>
      </c>
      <c r="L45" s="81">
        <v>266</v>
      </c>
      <c r="M45" s="81">
        <v>266</v>
      </c>
      <c r="N45" s="81">
        <v>199</v>
      </c>
      <c r="O45" s="81">
        <v>280</v>
      </c>
      <c r="P45" s="81">
        <v>280</v>
      </c>
      <c r="Q45" s="81">
        <v>280</v>
      </c>
      <c r="R45" s="81">
        <v>280</v>
      </c>
    </row>
    <row r="46" spans="1:18" ht="15.75" x14ac:dyDescent="0.25">
      <c r="A46" s="80">
        <v>41</v>
      </c>
      <c r="B46" s="567" t="s">
        <v>381</v>
      </c>
      <c r="C46" s="87" t="s">
        <v>190</v>
      </c>
      <c r="D46" s="81">
        <v>28789</v>
      </c>
      <c r="E46" s="81">
        <v>14907</v>
      </c>
      <c r="F46" s="81">
        <v>3661</v>
      </c>
      <c r="G46" s="81">
        <v>11246</v>
      </c>
      <c r="H46" s="81">
        <v>13882</v>
      </c>
      <c r="I46" s="81">
        <v>2981</v>
      </c>
      <c r="J46" s="81">
        <v>732</v>
      </c>
      <c r="K46" s="81">
        <v>2249</v>
      </c>
      <c r="L46" s="81">
        <v>2981</v>
      </c>
      <c r="M46" s="81">
        <v>2981</v>
      </c>
      <c r="N46" s="81">
        <v>2249</v>
      </c>
      <c r="O46" s="81">
        <v>2776</v>
      </c>
      <c r="P46" s="81">
        <v>2776</v>
      </c>
      <c r="Q46" s="81">
        <v>2776</v>
      </c>
      <c r="R46" s="81">
        <v>2776</v>
      </c>
    </row>
    <row r="47" spans="1:18" ht="15.75" x14ac:dyDescent="0.25">
      <c r="A47" s="80">
        <v>42</v>
      </c>
      <c r="B47" s="567" t="s">
        <v>382</v>
      </c>
      <c r="C47" s="87" t="s">
        <v>283</v>
      </c>
      <c r="D47" s="81">
        <v>12294</v>
      </c>
      <c r="E47" s="81">
        <v>6824</v>
      </c>
      <c r="F47" s="81">
        <v>1757</v>
      </c>
      <c r="G47" s="81">
        <v>5067</v>
      </c>
      <c r="H47" s="81">
        <v>5470</v>
      </c>
      <c r="I47" s="81">
        <v>1364</v>
      </c>
      <c r="J47" s="81">
        <v>351</v>
      </c>
      <c r="K47" s="81">
        <v>1013</v>
      </c>
      <c r="L47" s="81">
        <v>1364</v>
      </c>
      <c r="M47" s="81">
        <v>1364</v>
      </c>
      <c r="N47" s="81">
        <v>1013</v>
      </c>
      <c r="O47" s="81">
        <v>1094</v>
      </c>
      <c r="P47" s="81">
        <v>1094</v>
      </c>
      <c r="Q47" s="81">
        <v>1094</v>
      </c>
      <c r="R47" s="81">
        <v>1094</v>
      </c>
    </row>
    <row r="48" spans="1:18" ht="15.75" x14ac:dyDescent="0.25">
      <c r="A48" s="80">
        <v>43</v>
      </c>
      <c r="B48" s="567" t="s">
        <v>726</v>
      </c>
      <c r="C48" s="87" t="s">
        <v>285</v>
      </c>
      <c r="D48" s="81">
        <v>15668</v>
      </c>
      <c r="E48" s="81">
        <v>8711</v>
      </c>
      <c r="F48" s="81">
        <v>1913</v>
      </c>
      <c r="G48" s="81">
        <v>6798</v>
      </c>
      <c r="H48" s="81">
        <v>6957</v>
      </c>
      <c r="I48" s="81">
        <v>1743</v>
      </c>
      <c r="J48" s="81">
        <v>383</v>
      </c>
      <c r="K48" s="81">
        <v>1360</v>
      </c>
      <c r="L48" s="81">
        <v>1743</v>
      </c>
      <c r="M48" s="81">
        <v>1743</v>
      </c>
      <c r="N48" s="81">
        <v>1360</v>
      </c>
      <c r="O48" s="81">
        <v>1391</v>
      </c>
      <c r="P48" s="81">
        <v>1391</v>
      </c>
      <c r="Q48" s="81">
        <v>1391</v>
      </c>
      <c r="R48" s="81">
        <v>1391</v>
      </c>
    </row>
    <row r="49" spans="1:18" ht="15.75" x14ac:dyDescent="0.25">
      <c r="A49" s="80">
        <v>44</v>
      </c>
      <c r="B49" s="567" t="s">
        <v>383</v>
      </c>
      <c r="C49" s="87" t="s">
        <v>199</v>
      </c>
      <c r="D49" s="81">
        <v>2126</v>
      </c>
      <c r="E49" s="81">
        <v>1624</v>
      </c>
      <c r="F49" s="81">
        <v>1483</v>
      </c>
      <c r="G49" s="81">
        <v>141</v>
      </c>
      <c r="H49" s="81">
        <v>502</v>
      </c>
      <c r="I49" s="81">
        <v>325</v>
      </c>
      <c r="J49" s="81">
        <v>297</v>
      </c>
      <c r="K49" s="81">
        <v>28</v>
      </c>
      <c r="L49" s="81">
        <v>325</v>
      </c>
      <c r="M49" s="81">
        <v>325</v>
      </c>
      <c r="N49" s="81">
        <v>28</v>
      </c>
      <c r="O49" s="81">
        <v>100</v>
      </c>
      <c r="P49" s="81">
        <v>100</v>
      </c>
      <c r="Q49" s="81">
        <v>100</v>
      </c>
      <c r="R49" s="81">
        <v>100</v>
      </c>
    </row>
    <row r="50" spans="1:18" ht="15.75" x14ac:dyDescent="0.25">
      <c r="A50" s="80">
        <v>45</v>
      </c>
      <c r="B50" s="567" t="s">
        <v>384</v>
      </c>
      <c r="C50" s="87" t="s">
        <v>120</v>
      </c>
      <c r="D50" s="81">
        <v>10968</v>
      </c>
      <c r="E50" s="81">
        <v>5551</v>
      </c>
      <c r="F50" s="81">
        <v>1298</v>
      </c>
      <c r="G50" s="81">
        <v>4253</v>
      </c>
      <c r="H50" s="81">
        <v>5417</v>
      </c>
      <c r="I50" s="81">
        <v>1111</v>
      </c>
      <c r="J50" s="81">
        <v>260</v>
      </c>
      <c r="K50" s="81">
        <v>851</v>
      </c>
      <c r="L50" s="81">
        <v>1111</v>
      </c>
      <c r="M50" s="81">
        <v>1111</v>
      </c>
      <c r="N50" s="81">
        <v>851</v>
      </c>
      <c r="O50" s="81">
        <v>1083</v>
      </c>
      <c r="P50" s="81">
        <v>1083</v>
      </c>
      <c r="Q50" s="81">
        <v>1083</v>
      </c>
      <c r="R50" s="81">
        <v>1083</v>
      </c>
    </row>
    <row r="51" spans="1:18" ht="15.75" x14ac:dyDescent="0.25">
      <c r="A51" s="80">
        <v>46</v>
      </c>
      <c r="B51" s="567" t="s">
        <v>385</v>
      </c>
      <c r="C51" s="87" t="s">
        <v>122</v>
      </c>
      <c r="D51" s="81">
        <v>1895</v>
      </c>
      <c r="E51" s="81">
        <v>861</v>
      </c>
      <c r="F51" s="81">
        <v>196</v>
      </c>
      <c r="G51" s="81">
        <v>665</v>
      </c>
      <c r="H51" s="81">
        <v>1034</v>
      </c>
      <c r="I51" s="81">
        <v>172</v>
      </c>
      <c r="J51" s="81">
        <v>39</v>
      </c>
      <c r="K51" s="81">
        <v>133</v>
      </c>
      <c r="L51" s="81">
        <v>172</v>
      </c>
      <c r="M51" s="81">
        <v>172</v>
      </c>
      <c r="N51" s="81">
        <v>133</v>
      </c>
      <c r="O51" s="81">
        <v>207</v>
      </c>
      <c r="P51" s="81">
        <v>207</v>
      </c>
      <c r="Q51" s="81">
        <v>207</v>
      </c>
      <c r="R51" s="81">
        <v>207</v>
      </c>
    </row>
    <row r="52" spans="1:18" ht="15.75" x14ac:dyDescent="0.25">
      <c r="A52" s="80">
        <v>47</v>
      </c>
      <c r="B52" s="567" t="s">
        <v>386</v>
      </c>
      <c r="C52" s="87" t="s">
        <v>130</v>
      </c>
      <c r="D52" s="81">
        <v>1317</v>
      </c>
      <c r="E52" s="81">
        <v>568</v>
      </c>
      <c r="F52" s="81">
        <v>167</v>
      </c>
      <c r="G52" s="81">
        <v>401</v>
      </c>
      <c r="H52" s="81">
        <v>749</v>
      </c>
      <c r="I52" s="81">
        <v>113</v>
      </c>
      <c r="J52" s="81">
        <v>33</v>
      </c>
      <c r="K52" s="81">
        <v>80</v>
      </c>
      <c r="L52" s="81">
        <v>113</v>
      </c>
      <c r="M52" s="81">
        <v>113</v>
      </c>
      <c r="N52" s="81">
        <v>80</v>
      </c>
      <c r="O52" s="81">
        <v>150</v>
      </c>
      <c r="P52" s="81">
        <v>150</v>
      </c>
      <c r="Q52" s="81">
        <v>150</v>
      </c>
      <c r="R52" s="81">
        <v>150</v>
      </c>
    </row>
    <row r="53" spans="1:18" ht="15.75" x14ac:dyDescent="0.25">
      <c r="A53" s="80">
        <v>48</v>
      </c>
      <c r="B53" s="567" t="s">
        <v>387</v>
      </c>
      <c r="C53" s="87" t="s">
        <v>184</v>
      </c>
      <c r="D53" s="81">
        <v>34561</v>
      </c>
      <c r="E53" s="81">
        <v>19396</v>
      </c>
      <c r="F53" s="81">
        <v>8991</v>
      </c>
      <c r="G53" s="81">
        <v>10405</v>
      </c>
      <c r="H53" s="81">
        <v>15165</v>
      </c>
      <c r="I53" s="81">
        <v>3879</v>
      </c>
      <c r="J53" s="81">
        <v>1798</v>
      </c>
      <c r="K53" s="81">
        <v>2081</v>
      </c>
      <c r="L53" s="81">
        <v>3879</v>
      </c>
      <c r="M53" s="81">
        <v>3879</v>
      </c>
      <c r="N53" s="81">
        <v>2081</v>
      </c>
      <c r="O53" s="81">
        <v>3033</v>
      </c>
      <c r="P53" s="81">
        <v>3033</v>
      </c>
      <c r="Q53" s="81">
        <v>3033</v>
      </c>
      <c r="R53" s="81">
        <v>3033</v>
      </c>
    </row>
    <row r="54" spans="1:18" ht="15.75" x14ac:dyDescent="0.25">
      <c r="A54" s="80">
        <v>49</v>
      </c>
      <c r="B54" s="567" t="s">
        <v>388</v>
      </c>
      <c r="C54" s="87" t="s">
        <v>78</v>
      </c>
      <c r="D54" s="81">
        <v>5229</v>
      </c>
      <c r="E54" s="81">
        <v>2334</v>
      </c>
      <c r="F54" s="81">
        <v>591</v>
      </c>
      <c r="G54" s="81">
        <v>1743</v>
      </c>
      <c r="H54" s="81">
        <v>2895</v>
      </c>
      <c r="I54" s="81">
        <v>467</v>
      </c>
      <c r="J54" s="81">
        <v>118</v>
      </c>
      <c r="K54" s="81">
        <v>349</v>
      </c>
      <c r="L54" s="81">
        <v>467</v>
      </c>
      <c r="M54" s="81">
        <v>467</v>
      </c>
      <c r="N54" s="81">
        <v>349</v>
      </c>
      <c r="O54" s="81">
        <v>579</v>
      </c>
      <c r="P54" s="81">
        <v>579</v>
      </c>
      <c r="Q54" s="81">
        <v>579</v>
      </c>
      <c r="R54" s="81">
        <v>579</v>
      </c>
    </row>
    <row r="55" spans="1:18" ht="15.75" x14ac:dyDescent="0.25">
      <c r="A55" s="80">
        <v>50</v>
      </c>
      <c r="B55" s="567" t="s">
        <v>389</v>
      </c>
      <c r="C55" s="87" t="s">
        <v>82</v>
      </c>
      <c r="D55" s="81">
        <v>2190</v>
      </c>
      <c r="E55" s="81">
        <v>971</v>
      </c>
      <c r="F55" s="81">
        <v>284</v>
      </c>
      <c r="G55" s="81">
        <v>687</v>
      </c>
      <c r="H55" s="81">
        <v>1219</v>
      </c>
      <c r="I55" s="81">
        <v>194</v>
      </c>
      <c r="J55" s="81">
        <v>57</v>
      </c>
      <c r="K55" s="81">
        <v>137</v>
      </c>
      <c r="L55" s="81">
        <v>194</v>
      </c>
      <c r="M55" s="81">
        <v>194</v>
      </c>
      <c r="N55" s="81">
        <v>137</v>
      </c>
      <c r="O55" s="81">
        <v>244</v>
      </c>
      <c r="P55" s="81">
        <v>244</v>
      </c>
      <c r="Q55" s="81">
        <v>244</v>
      </c>
      <c r="R55" s="81">
        <v>244</v>
      </c>
    </row>
    <row r="56" spans="1:18" ht="15.75" x14ac:dyDescent="0.25">
      <c r="A56" s="80">
        <v>51</v>
      </c>
      <c r="B56" s="567" t="s">
        <v>390</v>
      </c>
      <c r="C56" s="87" t="s">
        <v>20</v>
      </c>
      <c r="D56" s="81">
        <v>12494</v>
      </c>
      <c r="E56" s="81">
        <v>6402</v>
      </c>
      <c r="F56" s="81">
        <v>1602</v>
      </c>
      <c r="G56" s="81">
        <v>4800</v>
      </c>
      <c r="H56" s="81">
        <v>6092</v>
      </c>
      <c r="I56" s="81">
        <v>1280</v>
      </c>
      <c r="J56" s="81">
        <v>320</v>
      </c>
      <c r="K56" s="81">
        <v>960</v>
      </c>
      <c r="L56" s="81">
        <v>1280</v>
      </c>
      <c r="M56" s="81">
        <v>1280</v>
      </c>
      <c r="N56" s="81">
        <v>960</v>
      </c>
      <c r="O56" s="81">
        <v>1218</v>
      </c>
      <c r="P56" s="81">
        <v>1218</v>
      </c>
      <c r="Q56" s="81">
        <v>1218</v>
      </c>
      <c r="R56" s="81">
        <v>1218</v>
      </c>
    </row>
    <row r="57" spans="1:18" ht="15.75" x14ac:dyDescent="0.25">
      <c r="A57" s="80">
        <v>52</v>
      </c>
      <c r="B57" s="567" t="s">
        <v>391</v>
      </c>
      <c r="C57" s="87" t="s">
        <v>24</v>
      </c>
      <c r="D57" s="81">
        <v>1830</v>
      </c>
      <c r="E57" s="81">
        <v>907</v>
      </c>
      <c r="F57" s="81">
        <v>231</v>
      </c>
      <c r="G57" s="81">
        <v>676</v>
      </c>
      <c r="H57" s="81">
        <v>923</v>
      </c>
      <c r="I57" s="81">
        <v>181</v>
      </c>
      <c r="J57" s="81">
        <v>46</v>
      </c>
      <c r="K57" s="81">
        <v>135</v>
      </c>
      <c r="L57" s="81">
        <v>181</v>
      </c>
      <c r="M57" s="81">
        <v>181</v>
      </c>
      <c r="N57" s="81">
        <v>135</v>
      </c>
      <c r="O57" s="81">
        <v>185</v>
      </c>
      <c r="P57" s="81">
        <v>185</v>
      </c>
      <c r="Q57" s="81">
        <v>185</v>
      </c>
      <c r="R57" s="81">
        <v>185</v>
      </c>
    </row>
    <row r="58" spans="1:18" ht="15.75" x14ac:dyDescent="0.25">
      <c r="A58" s="80">
        <v>53</v>
      </c>
      <c r="B58" s="567" t="s">
        <v>392</v>
      </c>
      <c r="C58" s="87" t="s">
        <v>188</v>
      </c>
      <c r="D58" s="81">
        <v>12143</v>
      </c>
      <c r="E58" s="81">
        <v>6612</v>
      </c>
      <c r="F58" s="81">
        <v>1660</v>
      </c>
      <c r="G58" s="81">
        <v>4952</v>
      </c>
      <c r="H58" s="81">
        <v>5531</v>
      </c>
      <c r="I58" s="81">
        <v>1322</v>
      </c>
      <c r="J58" s="81">
        <v>332</v>
      </c>
      <c r="K58" s="81">
        <v>990</v>
      </c>
      <c r="L58" s="81">
        <v>1322</v>
      </c>
      <c r="M58" s="81">
        <v>1322</v>
      </c>
      <c r="N58" s="81">
        <v>990</v>
      </c>
      <c r="O58" s="81">
        <v>1106</v>
      </c>
      <c r="P58" s="81">
        <v>1106</v>
      </c>
      <c r="Q58" s="81">
        <v>1106</v>
      </c>
      <c r="R58" s="81">
        <v>1106</v>
      </c>
    </row>
    <row r="59" spans="1:18" ht="15.75" x14ac:dyDescent="0.25">
      <c r="A59" s="80">
        <v>54</v>
      </c>
      <c r="B59" s="567" t="s">
        <v>393</v>
      </c>
      <c r="C59" s="87" t="s">
        <v>16</v>
      </c>
      <c r="D59" s="81">
        <v>7828</v>
      </c>
      <c r="E59" s="81">
        <v>4173</v>
      </c>
      <c r="F59" s="81">
        <v>1491</v>
      </c>
      <c r="G59" s="81">
        <v>2682</v>
      </c>
      <c r="H59" s="81">
        <v>3655</v>
      </c>
      <c r="I59" s="81">
        <v>834</v>
      </c>
      <c r="J59" s="81">
        <v>298</v>
      </c>
      <c r="K59" s="81">
        <v>536</v>
      </c>
      <c r="L59" s="81">
        <v>834</v>
      </c>
      <c r="M59" s="81">
        <v>834</v>
      </c>
      <c r="N59" s="81">
        <v>536</v>
      </c>
      <c r="O59" s="81">
        <v>731</v>
      </c>
      <c r="P59" s="81">
        <v>731</v>
      </c>
      <c r="Q59" s="81">
        <v>731</v>
      </c>
      <c r="R59" s="81">
        <v>731</v>
      </c>
    </row>
    <row r="60" spans="1:18" ht="15.75" x14ac:dyDescent="0.25">
      <c r="A60" s="80">
        <v>55</v>
      </c>
      <c r="B60" s="567" t="s">
        <v>394</v>
      </c>
      <c r="C60" s="87" t="s">
        <v>70</v>
      </c>
      <c r="D60" s="81">
        <v>2461</v>
      </c>
      <c r="E60" s="81">
        <v>1070</v>
      </c>
      <c r="F60" s="81">
        <v>283</v>
      </c>
      <c r="G60" s="81">
        <v>787</v>
      </c>
      <c r="H60" s="81">
        <v>1391</v>
      </c>
      <c r="I60" s="81">
        <v>214</v>
      </c>
      <c r="J60" s="81">
        <v>57</v>
      </c>
      <c r="K60" s="81">
        <v>157</v>
      </c>
      <c r="L60" s="81">
        <v>214</v>
      </c>
      <c r="M60" s="81">
        <v>214</v>
      </c>
      <c r="N60" s="81">
        <v>157</v>
      </c>
      <c r="O60" s="81">
        <v>278</v>
      </c>
      <c r="P60" s="81">
        <v>278</v>
      </c>
      <c r="Q60" s="81">
        <v>278</v>
      </c>
      <c r="R60" s="81">
        <v>278</v>
      </c>
    </row>
    <row r="61" spans="1:18" ht="15.75" x14ac:dyDescent="0.25">
      <c r="A61" s="80">
        <v>56</v>
      </c>
      <c r="B61" s="567" t="s">
        <v>395</v>
      </c>
      <c r="C61" s="87" t="s">
        <v>66</v>
      </c>
      <c r="D61" s="81">
        <v>2303</v>
      </c>
      <c r="E61" s="81">
        <v>1035</v>
      </c>
      <c r="F61" s="81">
        <v>234</v>
      </c>
      <c r="G61" s="81">
        <v>801</v>
      </c>
      <c r="H61" s="81">
        <v>1268</v>
      </c>
      <c r="I61" s="81">
        <v>207</v>
      </c>
      <c r="J61" s="81">
        <v>47</v>
      </c>
      <c r="K61" s="81">
        <v>160</v>
      </c>
      <c r="L61" s="81">
        <v>207</v>
      </c>
      <c r="M61" s="81">
        <v>207</v>
      </c>
      <c r="N61" s="81">
        <v>160</v>
      </c>
      <c r="O61" s="81">
        <v>254</v>
      </c>
      <c r="P61" s="81">
        <v>254</v>
      </c>
      <c r="Q61" s="81">
        <v>254</v>
      </c>
      <c r="R61" s="81">
        <v>254</v>
      </c>
    </row>
    <row r="62" spans="1:18" ht="15.75" x14ac:dyDescent="0.25">
      <c r="A62" s="80">
        <v>57</v>
      </c>
      <c r="B62" s="567" t="s">
        <v>396</v>
      </c>
      <c r="C62" s="87" t="s">
        <v>54</v>
      </c>
      <c r="D62" s="81">
        <v>2144</v>
      </c>
      <c r="E62" s="81">
        <v>970</v>
      </c>
      <c r="F62" s="81">
        <v>228</v>
      </c>
      <c r="G62" s="81">
        <v>742</v>
      </c>
      <c r="H62" s="81">
        <v>1174</v>
      </c>
      <c r="I62" s="81">
        <v>194</v>
      </c>
      <c r="J62" s="81">
        <v>46</v>
      </c>
      <c r="K62" s="81">
        <v>148</v>
      </c>
      <c r="L62" s="81">
        <v>194</v>
      </c>
      <c r="M62" s="81">
        <v>194</v>
      </c>
      <c r="N62" s="81">
        <v>148</v>
      </c>
      <c r="O62" s="81">
        <v>235</v>
      </c>
      <c r="P62" s="81">
        <v>235</v>
      </c>
      <c r="Q62" s="81">
        <v>235</v>
      </c>
      <c r="R62" s="81">
        <v>235</v>
      </c>
    </row>
    <row r="63" spans="1:18" ht="15.75" x14ac:dyDescent="0.25">
      <c r="A63" s="80">
        <v>58</v>
      </c>
      <c r="B63" s="567" t="s">
        <v>397</v>
      </c>
      <c r="C63" s="87" t="s">
        <v>58</v>
      </c>
      <c r="D63" s="81">
        <v>1886</v>
      </c>
      <c r="E63" s="81">
        <v>864</v>
      </c>
      <c r="F63" s="81">
        <v>210</v>
      </c>
      <c r="G63" s="81">
        <v>654</v>
      </c>
      <c r="H63" s="81">
        <v>1022</v>
      </c>
      <c r="I63" s="81">
        <v>173</v>
      </c>
      <c r="J63" s="81">
        <v>42</v>
      </c>
      <c r="K63" s="81">
        <v>131</v>
      </c>
      <c r="L63" s="81">
        <v>173</v>
      </c>
      <c r="M63" s="81">
        <v>173</v>
      </c>
      <c r="N63" s="81">
        <v>131</v>
      </c>
      <c r="O63" s="81">
        <v>204</v>
      </c>
      <c r="P63" s="81">
        <v>204</v>
      </c>
      <c r="Q63" s="81">
        <v>204</v>
      </c>
      <c r="R63" s="81">
        <v>204</v>
      </c>
    </row>
    <row r="64" spans="1:18" ht="15.75" x14ac:dyDescent="0.25">
      <c r="A64" s="80">
        <v>59</v>
      </c>
      <c r="B64" s="567" t="s">
        <v>398</v>
      </c>
      <c r="C64" s="87" t="s">
        <v>32</v>
      </c>
      <c r="D64" s="81">
        <v>3637</v>
      </c>
      <c r="E64" s="81">
        <v>1814</v>
      </c>
      <c r="F64" s="81">
        <v>485</v>
      </c>
      <c r="G64" s="81">
        <v>1329</v>
      </c>
      <c r="H64" s="81">
        <v>1823</v>
      </c>
      <c r="I64" s="81">
        <v>363</v>
      </c>
      <c r="J64" s="81">
        <v>97</v>
      </c>
      <c r="K64" s="81">
        <v>266</v>
      </c>
      <c r="L64" s="81">
        <v>363</v>
      </c>
      <c r="M64" s="81">
        <v>363</v>
      </c>
      <c r="N64" s="81">
        <v>266</v>
      </c>
      <c r="O64" s="81">
        <v>365</v>
      </c>
      <c r="P64" s="81">
        <v>365</v>
      </c>
      <c r="Q64" s="81">
        <v>365</v>
      </c>
      <c r="R64" s="81">
        <v>365</v>
      </c>
    </row>
    <row r="65" spans="1:18" ht="15.75" x14ac:dyDescent="0.25">
      <c r="A65" s="80">
        <v>60</v>
      </c>
      <c r="B65" s="567" t="s">
        <v>399</v>
      </c>
      <c r="C65" s="87" t="s">
        <v>216</v>
      </c>
      <c r="D65" s="81">
        <v>2313</v>
      </c>
      <c r="E65" s="81">
        <v>1063</v>
      </c>
      <c r="F65" s="81">
        <v>275</v>
      </c>
      <c r="G65" s="81">
        <v>788</v>
      </c>
      <c r="H65" s="81">
        <v>1250</v>
      </c>
      <c r="I65" s="81">
        <v>213</v>
      </c>
      <c r="J65" s="81">
        <v>55</v>
      </c>
      <c r="K65" s="81">
        <v>158</v>
      </c>
      <c r="L65" s="81">
        <v>213</v>
      </c>
      <c r="M65" s="81">
        <v>213</v>
      </c>
      <c r="N65" s="81">
        <v>158</v>
      </c>
      <c r="O65" s="81">
        <v>250</v>
      </c>
      <c r="P65" s="81">
        <v>250</v>
      </c>
      <c r="Q65" s="81">
        <v>250</v>
      </c>
      <c r="R65" s="81">
        <v>250</v>
      </c>
    </row>
    <row r="66" spans="1:18" ht="15.75" x14ac:dyDescent="0.25">
      <c r="A66" s="80">
        <v>61</v>
      </c>
      <c r="B66" s="567" t="s">
        <v>400</v>
      </c>
      <c r="C66" s="87" t="s">
        <v>226</v>
      </c>
      <c r="D66" s="81">
        <v>2789</v>
      </c>
      <c r="E66" s="81">
        <v>1300</v>
      </c>
      <c r="F66" s="81">
        <v>333</v>
      </c>
      <c r="G66" s="81">
        <v>967</v>
      </c>
      <c r="H66" s="81">
        <v>1489</v>
      </c>
      <c r="I66" s="81">
        <v>260</v>
      </c>
      <c r="J66" s="81">
        <v>67</v>
      </c>
      <c r="K66" s="81">
        <v>193</v>
      </c>
      <c r="L66" s="81">
        <v>260</v>
      </c>
      <c r="M66" s="81">
        <v>260</v>
      </c>
      <c r="N66" s="81">
        <v>193</v>
      </c>
      <c r="O66" s="81">
        <v>298</v>
      </c>
      <c r="P66" s="81">
        <v>298</v>
      </c>
      <c r="Q66" s="81">
        <v>298</v>
      </c>
      <c r="R66" s="81">
        <v>298</v>
      </c>
    </row>
    <row r="67" spans="1:18" ht="15.75" x14ac:dyDescent="0.25">
      <c r="A67" s="80">
        <v>62</v>
      </c>
      <c r="B67" s="567" t="s">
        <v>401</v>
      </c>
      <c r="C67" s="87" t="s">
        <v>222</v>
      </c>
      <c r="D67" s="81">
        <v>1837</v>
      </c>
      <c r="E67" s="81">
        <v>829</v>
      </c>
      <c r="F67" s="81">
        <v>234</v>
      </c>
      <c r="G67" s="81">
        <v>595</v>
      </c>
      <c r="H67" s="81">
        <v>1008</v>
      </c>
      <c r="I67" s="81">
        <v>166</v>
      </c>
      <c r="J67" s="81">
        <v>47</v>
      </c>
      <c r="K67" s="81">
        <v>119</v>
      </c>
      <c r="L67" s="81">
        <v>166</v>
      </c>
      <c r="M67" s="81">
        <v>166</v>
      </c>
      <c r="N67" s="81">
        <v>119</v>
      </c>
      <c r="O67" s="81">
        <v>202</v>
      </c>
      <c r="P67" s="81">
        <v>202</v>
      </c>
      <c r="Q67" s="81">
        <v>202</v>
      </c>
      <c r="R67" s="81">
        <v>202</v>
      </c>
    </row>
    <row r="68" spans="1:18" ht="15.75" x14ac:dyDescent="0.25">
      <c r="A68" s="80">
        <v>63</v>
      </c>
      <c r="B68" s="567" t="s">
        <v>402</v>
      </c>
      <c r="C68" s="87" t="s">
        <v>212</v>
      </c>
      <c r="D68" s="81">
        <v>2073</v>
      </c>
      <c r="E68" s="81">
        <v>947</v>
      </c>
      <c r="F68" s="81">
        <v>254</v>
      </c>
      <c r="G68" s="81">
        <v>693</v>
      </c>
      <c r="H68" s="81">
        <v>1126</v>
      </c>
      <c r="I68" s="81">
        <v>190</v>
      </c>
      <c r="J68" s="81">
        <v>51</v>
      </c>
      <c r="K68" s="81">
        <v>139</v>
      </c>
      <c r="L68" s="81">
        <v>190</v>
      </c>
      <c r="M68" s="81">
        <v>190</v>
      </c>
      <c r="N68" s="81">
        <v>139</v>
      </c>
      <c r="O68" s="81">
        <v>225</v>
      </c>
      <c r="P68" s="81">
        <v>225</v>
      </c>
      <c r="Q68" s="81">
        <v>225</v>
      </c>
      <c r="R68" s="81">
        <v>225</v>
      </c>
    </row>
    <row r="69" spans="1:18" ht="15.75" x14ac:dyDescent="0.25">
      <c r="A69" s="80">
        <v>64</v>
      </c>
      <c r="B69" s="567" t="s">
        <v>403</v>
      </c>
      <c r="C69" s="87" t="s">
        <v>62</v>
      </c>
      <c r="D69" s="81">
        <v>6695</v>
      </c>
      <c r="E69" s="81">
        <v>3204</v>
      </c>
      <c r="F69" s="81">
        <v>697</v>
      </c>
      <c r="G69" s="81">
        <v>2507</v>
      </c>
      <c r="H69" s="81">
        <v>3491</v>
      </c>
      <c r="I69" s="81">
        <v>640</v>
      </c>
      <c r="J69" s="81">
        <v>139</v>
      </c>
      <c r="K69" s="81">
        <v>501</v>
      </c>
      <c r="L69" s="81">
        <v>640</v>
      </c>
      <c r="M69" s="81">
        <v>640</v>
      </c>
      <c r="N69" s="81">
        <v>501</v>
      </c>
      <c r="O69" s="81">
        <v>698</v>
      </c>
      <c r="P69" s="81">
        <v>698</v>
      </c>
      <c r="Q69" s="81">
        <v>698</v>
      </c>
      <c r="R69" s="81">
        <v>698</v>
      </c>
    </row>
    <row r="70" spans="1:18" ht="15.75" x14ac:dyDescent="0.25">
      <c r="A70" s="80">
        <v>65</v>
      </c>
      <c r="B70" s="567" t="s">
        <v>404</v>
      </c>
      <c r="C70" s="87" t="s">
        <v>138</v>
      </c>
      <c r="D70" s="81">
        <v>2798</v>
      </c>
      <c r="E70" s="81">
        <v>1343</v>
      </c>
      <c r="F70" s="81">
        <v>309</v>
      </c>
      <c r="G70" s="81">
        <v>1034</v>
      </c>
      <c r="H70" s="81">
        <v>1455</v>
      </c>
      <c r="I70" s="81">
        <v>269</v>
      </c>
      <c r="J70" s="81">
        <v>62</v>
      </c>
      <c r="K70" s="81">
        <v>207</v>
      </c>
      <c r="L70" s="81">
        <v>269</v>
      </c>
      <c r="M70" s="81">
        <v>269</v>
      </c>
      <c r="N70" s="81">
        <v>207</v>
      </c>
      <c r="O70" s="81">
        <v>291</v>
      </c>
      <c r="P70" s="81">
        <v>291</v>
      </c>
      <c r="Q70" s="81">
        <v>291</v>
      </c>
      <c r="R70" s="81">
        <v>291</v>
      </c>
    </row>
    <row r="71" spans="1:18" ht="15.75" x14ac:dyDescent="0.25">
      <c r="A71" s="80">
        <v>66</v>
      </c>
      <c r="B71" s="567" t="s">
        <v>405</v>
      </c>
      <c r="C71" s="87" t="s">
        <v>194</v>
      </c>
      <c r="D71" s="81">
        <v>24669</v>
      </c>
      <c r="E71" s="81">
        <v>12642</v>
      </c>
      <c r="F71" s="81">
        <v>4529</v>
      </c>
      <c r="G71" s="81">
        <v>8113</v>
      </c>
      <c r="H71" s="81">
        <v>12027</v>
      </c>
      <c r="I71" s="81">
        <v>2529</v>
      </c>
      <c r="J71" s="81">
        <v>906</v>
      </c>
      <c r="K71" s="81">
        <v>1623</v>
      </c>
      <c r="L71" s="81">
        <v>2529</v>
      </c>
      <c r="M71" s="81">
        <v>2529</v>
      </c>
      <c r="N71" s="81">
        <v>1623</v>
      </c>
      <c r="O71" s="81">
        <v>2405</v>
      </c>
      <c r="P71" s="81">
        <v>2405</v>
      </c>
      <c r="Q71" s="81">
        <v>2405</v>
      </c>
      <c r="R71" s="81">
        <v>2405</v>
      </c>
    </row>
    <row r="72" spans="1:18" ht="15.75" x14ac:dyDescent="0.25">
      <c r="A72" s="80">
        <v>67</v>
      </c>
      <c r="B72" s="567" t="s">
        <v>406</v>
      </c>
      <c r="C72" s="87" t="s">
        <v>126</v>
      </c>
      <c r="D72" s="81">
        <v>3369</v>
      </c>
      <c r="E72" s="81">
        <v>1579</v>
      </c>
      <c r="F72" s="81">
        <v>396</v>
      </c>
      <c r="G72" s="81">
        <v>1183</v>
      </c>
      <c r="H72" s="81">
        <v>1790</v>
      </c>
      <c r="I72" s="81">
        <v>316</v>
      </c>
      <c r="J72" s="81">
        <v>79</v>
      </c>
      <c r="K72" s="81">
        <v>237</v>
      </c>
      <c r="L72" s="81">
        <v>316</v>
      </c>
      <c r="M72" s="81">
        <v>316</v>
      </c>
      <c r="N72" s="81">
        <v>237</v>
      </c>
      <c r="O72" s="81">
        <v>358</v>
      </c>
      <c r="P72" s="81">
        <v>358</v>
      </c>
      <c r="Q72" s="81">
        <v>358</v>
      </c>
      <c r="R72" s="81">
        <v>358</v>
      </c>
    </row>
    <row r="73" spans="1:18" ht="15.75" x14ac:dyDescent="0.25">
      <c r="A73" s="80">
        <v>68</v>
      </c>
      <c r="B73" s="567" t="s">
        <v>407</v>
      </c>
      <c r="C73" s="87" t="s">
        <v>118</v>
      </c>
      <c r="D73" s="81">
        <v>2644</v>
      </c>
      <c r="E73" s="81">
        <v>1210</v>
      </c>
      <c r="F73" s="81">
        <v>293</v>
      </c>
      <c r="G73" s="81">
        <v>917</v>
      </c>
      <c r="H73" s="81">
        <v>1434</v>
      </c>
      <c r="I73" s="81">
        <v>242</v>
      </c>
      <c r="J73" s="81">
        <v>59</v>
      </c>
      <c r="K73" s="81">
        <v>183</v>
      </c>
      <c r="L73" s="81">
        <v>242</v>
      </c>
      <c r="M73" s="81">
        <v>242</v>
      </c>
      <c r="N73" s="81">
        <v>183</v>
      </c>
      <c r="O73" s="81">
        <v>287</v>
      </c>
      <c r="P73" s="81">
        <v>287</v>
      </c>
      <c r="Q73" s="81">
        <v>287</v>
      </c>
      <c r="R73" s="81">
        <v>287</v>
      </c>
    </row>
    <row r="74" spans="1:18" ht="15.75" x14ac:dyDescent="0.25">
      <c r="A74" s="80">
        <v>69</v>
      </c>
      <c r="B74" s="567" t="s">
        <v>408</v>
      </c>
      <c r="C74" s="87" t="s">
        <v>102</v>
      </c>
      <c r="D74" s="81">
        <v>10819</v>
      </c>
      <c r="E74" s="81">
        <v>5216</v>
      </c>
      <c r="F74" s="81">
        <v>1243</v>
      </c>
      <c r="G74" s="81">
        <v>3973</v>
      </c>
      <c r="H74" s="81">
        <v>5603</v>
      </c>
      <c r="I74" s="81">
        <v>1044</v>
      </c>
      <c r="J74" s="81">
        <v>249</v>
      </c>
      <c r="K74" s="81">
        <v>795</v>
      </c>
      <c r="L74" s="81">
        <v>1044</v>
      </c>
      <c r="M74" s="81">
        <v>1044</v>
      </c>
      <c r="N74" s="81">
        <v>795</v>
      </c>
      <c r="O74" s="81">
        <v>1121</v>
      </c>
      <c r="P74" s="81">
        <v>1121</v>
      </c>
      <c r="Q74" s="81">
        <v>1121</v>
      </c>
      <c r="R74" s="81">
        <v>1121</v>
      </c>
    </row>
    <row r="75" spans="1:18" ht="15.75" x14ac:dyDescent="0.25">
      <c r="A75" s="80">
        <v>70</v>
      </c>
      <c r="B75" s="567" t="s">
        <v>409</v>
      </c>
      <c r="C75" s="87" t="s">
        <v>162</v>
      </c>
      <c r="D75" s="81">
        <v>16782</v>
      </c>
      <c r="E75" s="81">
        <v>9255</v>
      </c>
      <c r="F75" s="81">
        <v>2100</v>
      </c>
      <c r="G75" s="81">
        <v>7155</v>
      </c>
      <c r="H75" s="81">
        <v>7527</v>
      </c>
      <c r="I75" s="81">
        <v>1851</v>
      </c>
      <c r="J75" s="81">
        <v>420</v>
      </c>
      <c r="K75" s="81">
        <v>1431</v>
      </c>
      <c r="L75" s="81">
        <v>1851</v>
      </c>
      <c r="M75" s="81">
        <v>1851</v>
      </c>
      <c r="N75" s="81">
        <v>1431</v>
      </c>
      <c r="O75" s="81">
        <v>1505</v>
      </c>
      <c r="P75" s="81">
        <v>1505</v>
      </c>
      <c r="Q75" s="81">
        <v>1505</v>
      </c>
      <c r="R75" s="81">
        <v>1505</v>
      </c>
    </row>
    <row r="76" spans="1:18" ht="15.75" x14ac:dyDescent="0.25">
      <c r="A76" s="80">
        <v>71</v>
      </c>
      <c r="B76" s="567" t="s">
        <v>410</v>
      </c>
      <c r="C76" s="87" t="s">
        <v>164</v>
      </c>
      <c r="D76" s="81">
        <v>9583</v>
      </c>
      <c r="E76" s="81">
        <v>5304</v>
      </c>
      <c r="F76" s="81">
        <v>1282</v>
      </c>
      <c r="G76" s="81">
        <v>4022</v>
      </c>
      <c r="H76" s="81">
        <v>4279</v>
      </c>
      <c r="I76" s="81">
        <v>1060</v>
      </c>
      <c r="J76" s="81">
        <v>256</v>
      </c>
      <c r="K76" s="81">
        <v>804</v>
      </c>
      <c r="L76" s="81">
        <v>1060</v>
      </c>
      <c r="M76" s="81">
        <v>1060</v>
      </c>
      <c r="N76" s="81">
        <v>804</v>
      </c>
      <c r="O76" s="81">
        <v>856</v>
      </c>
      <c r="P76" s="81">
        <v>856</v>
      </c>
      <c r="Q76" s="81">
        <v>856</v>
      </c>
      <c r="R76" s="81">
        <v>856</v>
      </c>
    </row>
    <row r="77" spans="1:18" ht="15.75" x14ac:dyDescent="0.25">
      <c r="A77" s="80">
        <v>72</v>
      </c>
      <c r="B77" s="567" t="s">
        <v>411</v>
      </c>
      <c r="C77" s="87" t="s">
        <v>182</v>
      </c>
      <c r="D77" s="81">
        <v>14080</v>
      </c>
      <c r="E77" s="81">
        <v>7649</v>
      </c>
      <c r="F77" s="81">
        <v>2016</v>
      </c>
      <c r="G77" s="81">
        <v>5633</v>
      </c>
      <c r="H77" s="81">
        <v>6431</v>
      </c>
      <c r="I77" s="81">
        <v>1530</v>
      </c>
      <c r="J77" s="81">
        <v>403</v>
      </c>
      <c r="K77" s="81">
        <v>1127</v>
      </c>
      <c r="L77" s="81">
        <v>1530</v>
      </c>
      <c r="M77" s="81">
        <v>1530</v>
      </c>
      <c r="N77" s="81">
        <v>1127</v>
      </c>
      <c r="O77" s="81">
        <v>1286</v>
      </c>
      <c r="P77" s="81">
        <v>1286</v>
      </c>
      <c r="Q77" s="81">
        <v>1286</v>
      </c>
      <c r="R77" s="81">
        <v>1286</v>
      </c>
    </row>
    <row r="78" spans="1:18" ht="16.5" thickBot="1" x14ac:dyDescent="0.3">
      <c r="A78" s="80">
        <v>73</v>
      </c>
      <c r="B78" s="567" t="s">
        <v>412</v>
      </c>
      <c r="C78" s="87" t="s">
        <v>166</v>
      </c>
      <c r="D78" s="81">
        <v>22252</v>
      </c>
      <c r="E78" s="81">
        <v>12230</v>
      </c>
      <c r="F78" s="81">
        <v>4040</v>
      </c>
      <c r="G78" s="81">
        <v>8190</v>
      </c>
      <c r="H78" s="81">
        <v>10022</v>
      </c>
      <c r="I78" s="81">
        <v>2446</v>
      </c>
      <c r="J78" s="81">
        <v>808</v>
      </c>
      <c r="K78" s="81">
        <v>1638</v>
      </c>
      <c r="L78" s="81">
        <v>2446</v>
      </c>
      <c r="M78" s="81">
        <v>2446</v>
      </c>
      <c r="N78" s="81">
        <v>1638</v>
      </c>
      <c r="O78" s="81">
        <v>2004</v>
      </c>
      <c r="P78" s="81">
        <v>2004</v>
      </c>
      <c r="Q78" s="81">
        <v>2004</v>
      </c>
      <c r="R78" s="81">
        <v>2004</v>
      </c>
    </row>
    <row r="79" spans="1:18" s="83" customFormat="1" ht="16.5" thickBot="1" x14ac:dyDescent="0.3">
      <c r="A79" s="562"/>
      <c r="B79" s="568" t="s">
        <v>413</v>
      </c>
      <c r="C79" s="563"/>
      <c r="D79" s="564">
        <v>558944</v>
      </c>
      <c r="E79" s="564">
        <f t="shared" ref="E79:N79" si="0">SUM(E6:E78)</f>
        <v>286118</v>
      </c>
      <c r="F79" s="564">
        <f t="shared" si="0"/>
        <v>79832</v>
      </c>
      <c r="G79" s="564">
        <f t="shared" si="0"/>
        <v>206286</v>
      </c>
      <c r="H79" s="564">
        <f t="shared" si="0"/>
        <v>272826</v>
      </c>
      <c r="I79" s="564">
        <f t="shared" si="0"/>
        <v>57226</v>
      </c>
      <c r="J79" s="564">
        <f t="shared" si="0"/>
        <v>15967</v>
      </c>
      <c r="K79" s="564">
        <f t="shared" si="0"/>
        <v>41259</v>
      </c>
      <c r="L79" s="564">
        <f t="shared" si="0"/>
        <v>57226</v>
      </c>
      <c r="M79" s="564">
        <f t="shared" si="0"/>
        <v>57226</v>
      </c>
      <c r="N79" s="564">
        <f t="shared" si="0"/>
        <v>41259</v>
      </c>
      <c r="O79" s="564">
        <f t="shared" ref="O79:R79" si="1">SUM(O6:O78)</f>
        <v>54564</v>
      </c>
      <c r="P79" s="564">
        <f t="shared" si="1"/>
        <v>54564</v>
      </c>
      <c r="Q79" s="564">
        <f t="shared" si="1"/>
        <v>54564</v>
      </c>
      <c r="R79" s="565">
        <f t="shared" si="1"/>
        <v>54564</v>
      </c>
    </row>
    <row r="81" spans="4:18" x14ac:dyDescent="0.25"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</row>
    <row r="82" spans="4:18" x14ac:dyDescent="0.25">
      <c r="D82" s="85"/>
      <c r="E82" s="85"/>
      <c r="F82" s="85"/>
      <c r="G82" s="85"/>
      <c r="H82" s="85"/>
      <c r="I82" s="88"/>
      <c r="J82" s="85"/>
      <c r="K82" s="85"/>
      <c r="L82" s="85"/>
      <c r="M82" s="85"/>
      <c r="N82" s="85"/>
      <c r="O82" s="85"/>
      <c r="P82" s="85"/>
      <c r="Q82" s="85"/>
      <c r="R82" s="85"/>
    </row>
    <row r="83" spans="4:18" x14ac:dyDescent="0.25"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</row>
    <row r="86" spans="4:18" x14ac:dyDescent="0.25">
      <c r="E86" s="86"/>
      <c r="I86" s="82"/>
      <c r="J86" s="82"/>
      <c r="K86" s="82"/>
      <c r="L86" s="82"/>
      <c r="M86" s="82"/>
      <c r="N86" s="82"/>
      <c r="O86" s="82"/>
      <c r="P86" s="82"/>
      <c r="Q86" s="82"/>
      <c r="R86" s="82"/>
    </row>
    <row r="87" spans="4:18" x14ac:dyDescent="0.25"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</row>
    <row r="88" spans="4:18" x14ac:dyDescent="0.25">
      <c r="E88" s="86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zoomScaleNormal="100" workbookViewId="0">
      <pane xSplit="3" ySplit="12" topLeftCell="E96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J75" sqref="J75"/>
    </sheetView>
  </sheetViews>
  <sheetFormatPr defaultRowHeight="12" x14ac:dyDescent="0.2"/>
  <cols>
    <col min="1" max="1" width="4.42578125" style="619" customWidth="1"/>
    <col min="2" max="2" width="6.85546875" style="619" customWidth="1"/>
    <col min="3" max="3" width="47" style="619" customWidth="1"/>
    <col min="4" max="10" width="14.28515625" style="619" customWidth="1"/>
    <col min="11" max="11" width="3.42578125" style="619" customWidth="1"/>
    <col min="12" max="16384" width="9.140625" style="619"/>
  </cols>
  <sheetData>
    <row r="1" spans="1:10" ht="30.75" customHeight="1" x14ac:dyDescent="0.2">
      <c r="A1" s="976" t="s">
        <v>462</v>
      </c>
      <c r="B1" s="976"/>
      <c r="C1" s="976"/>
      <c r="D1" s="976"/>
      <c r="E1" s="976"/>
      <c r="F1" s="976"/>
      <c r="G1" s="976"/>
      <c r="H1" s="976"/>
      <c r="I1" s="976"/>
      <c r="J1" s="976"/>
    </row>
    <row r="2" spans="1:10" ht="23.25" customHeight="1" x14ac:dyDescent="0.2">
      <c r="A2" s="977" t="s">
        <v>0</v>
      </c>
      <c r="B2" s="978" t="s">
        <v>326</v>
      </c>
      <c r="C2" s="977" t="s">
        <v>309</v>
      </c>
      <c r="D2" s="979" t="s">
        <v>463</v>
      </c>
      <c r="E2" s="979"/>
      <c r="F2" s="979"/>
      <c r="G2" s="979"/>
      <c r="H2" s="979"/>
      <c r="I2" s="979"/>
      <c r="J2" s="979"/>
    </row>
    <row r="3" spans="1:10" ht="15" customHeight="1" x14ac:dyDescent="0.2">
      <c r="A3" s="977"/>
      <c r="B3" s="978"/>
      <c r="C3" s="977"/>
      <c r="D3" s="979" t="s">
        <v>441</v>
      </c>
      <c r="E3" s="980" t="s">
        <v>464</v>
      </c>
      <c r="F3" s="981"/>
      <c r="G3" s="981"/>
      <c r="H3" s="981"/>
      <c r="I3" s="981"/>
      <c r="J3" s="982"/>
    </row>
    <row r="4" spans="1:10" s="620" customFormat="1" ht="41.25" customHeight="1" x14ac:dyDescent="0.25">
      <c r="A4" s="977"/>
      <c r="B4" s="978"/>
      <c r="C4" s="977"/>
      <c r="D4" s="979"/>
      <c r="E4" s="983"/>
      <c r="F4" s="984"/>
      <c r="G4" s="984"/>
      <c r="H4" s="984"/>
      <c r="I4" s="984"/>
      <c r="J4" s="985"/>
    </row>
    <row r="5" spans="1:10" ht="31.5" customHeight="1" x14ac:dyDescent="0.2">
      <c r="A5" s="977"/>
      <c r="B5" s="978"/>
      <c r="C5" s="977"/>
      <c r="D5" s="979"/>
      <c r="E5" s="986" t="s">
        <v>465</v>
      </c>
      <c r="F5" s="969" t="s">
        <v>466</v>
      </c>
      <c r="G5" s="970"/>
      <c r="H5" s="970"/>
      <c r="I5" s="970"/>
      <c r="J5" s="971"/>
    </row>
    <row r="6" spans="1:10" ht="22.5" customHeight="1" x14ac:dyDescent="0.2">
      <c r="A6" s="977"/>
      <c r="B6" s="978"/>
      <c r="C6" s="977"/>
      <c r="D6" s="979"/>
      <c r="E6" s="987"/>
      <c r="F6" s="979" t="s">
        <v>46</v>
      </c>
      <c r="G6" s="969" t="s">
        <v>447</v>
      </c>
      <c r="H6" s="970"/>
      <c r="I6" s="970"/>
      <c r="J6" s="971"/>
    </row>
    <row r="7" spans="1:10" ht="26.25" customHeight="1" x14ac:dyDescent="0.2">
      <c r="A7" s="977"/>
      <c r="B7" s="978"/>
      <c r="C7" s="977"/>
      <c r="D7" s="979"/>
      <c r="E7" s="987"/>
      <c r="F7" s="979"/>
      <c r="G7" s="972" t="s">
        <v>467</v>
      </c>
      <c r="H7" s="973" t="s">
        <v>49</v>
      </c>
      <c r="I7" s="974"/>
      <c r="J7" s="975"/>
    </row>
    <row r="8" spans="1:10" ht="42.75" customHeight="1" x14ac:dyDescent="0.2">
      <c r="A8" s="977"/>
      <c r="B8" s="978"/>
      <c r="C8" s="977"/>
      <c r="D8" s="979"/>
      <c r="E8" s="988"/>
      <c r="F8" s="979"/>
      <c r="G8" s="972"/>
      <c r="H8" s="621" t="s">
        <v>46</v>
      </c>
      <c r="I8" s="622" t="s">
        <v>468</v>
      </c>
      <c r="J8" s="623" t="s">
        <v>50</v>
      </c>
    </row>
    <row r="9" spans="1:10" s="626" customFormat="1" ht="11.25" x14ac:dyDescent="0.2">
      <c r="A9" s="624">
        <v>1</v>
      </c>
      <c r="B9" s="624">
        <v>2</v>
      </c>
      <c r="C9" s="624">
        <v>3</v>
      </c>
      <c r="D9" s="625">
        <v>4</v>
      </c>
      <c r="E9" s="625">
        <v>5</v>
      </c>
      <c r="F9" s="625">
        <v>6</v>
      </c>
      <c r="G9" s="625">
        <v>7</v>
      </c>
      <c r="H9" s="625">
        <v>8</v>
      </c>
      <c r="I9" s="625">
        <v>9</v>
      </c>
      <c r="J9" s="625">
        <v>10</v>
      </c>
    </row>
    <row r="10" spans="1:10" s="628" customFormat="1" x14ac:dyDescent="0.2">
      <c r="A10" s="965" t="s">
        <v>469</v>
      </c>
      <c r="B10" s="965"/>
      <c r="C10" s="965"/>
      <c r="D10" s="627">
        <f>E10+F10</f>
        <v>1717790</v>
      </c>
      <c r="E10" s="627">
        <f>E11+E12</f>
        <v>8152</v>
      </c>
      <c r="F10" s="627">
        <f>G10+H10</f>
        <v>1709638</v>
      </c>
      <c r="G10" s="627">
        <f>G11+G12</f>
        <v>81825</v>
      </c>
      <c r="H10" s="627">
        <f>H11+H12</f>
        <v>1627813</v>
      </c>
      <c r="I10" s="627">
        <f t="shared" ref="I10:J10" si="0">I11+I12</f>
        <v>13083</v>
      </c>
      <c r="J10" s="627">
        <f t="shared" si="0"/>
        <v>1614730</v>
      </c>
    </row>
    <row r="11" spans="1:10" ht="12" customHeight="1" x14ac:dyDescent="0.2">
      <c r="A11" s="966" t="s">
        <v>14</v>
      </c>
      <c r="B11" s="967"/>
      <c r="C11" s="968"/>
      <c r="D11" s="629">
        <f>E11+F11</f>
        <v>0</v>
      </c>
      <c r="E11" s="629">
        <v>0</v>
      </c>
      <c r="F11" s="629">
        <v>0</v>
      </c>
      <c r="G11" s="629">
        <v>0</v>
      </c>
      <c r="H11" s="629">
        <v>0</v>
      </c>
      <c r="I11" s="629">
        <v>0</v>
      </c>
      <c r="J11" s="629">
        <v>0</v>
      </c>
    </row>
    <row r="12" spans="1:10" s="628" customFormat="1" x14ac:dyDescent="0.2">
      <c r="A12" s="992" t="s">
        <v>15</v>
      </c>
      <c r="B12" s="992"/>
      <c r="C12" s="992"/>
      <c r="D12" s="627">
        <f>E12+F12</f>
        <v>1717790</v>
      </c>
      <c r="E12" s="627">
        <f>SUM(E13:E149)-E93-E38-E76-E77-E79-E80-E81-E86-E89</f>
        <v>8152</v>
      </c>
      <c r="F12" s="627">
        <f>SUM(F13:F149)-F93-F38-F76-F77-F79-F80-F81-F86-F89</f>
        <v>1709638</v>
      </c>
      <c r="G12" s="627">
        <f t="shared" ref="G12:J12" si="1">SUM(G13:G149)-G93-G38-G76-G77-G79-G80-G81-G86-G89</f>
        <v>81825</v>
      </c>
      <c r="H12" s="627">
        <f t="shared" si="1"/>
        <v>1627813</v>
      </c>
      <c r="I12" s="627">
        <f t="shared" si="1"/>
        <v>13083</v>
      </c>
      <c r="J12" s="627">
        <f t="shared" si="1"/>
        <v>1614730</v>
      </c>
    </row>
    <row r="13" spans="1:10" x14ac:dyDescent="0.2">
      <c r="A13" s="630">
        <v>1</v>
      </c>
      <c r="B13" s="27" t="s">
        <v>54</v>
      </c>
      <c r="C13" s="28" t="s">
        <v>55</v>
      </c>
      <c r="D13" s="629">
        <f>E13+F13</f>
        <v>15789</v>
      </c>
      <c r="E13" s="629">
        <v>0</v>
      </c>
      <c r="F13" s="629">
        <f>G13+H13</f>
        <v>15789</v>
      </c>
      <c r="G13" s="629">
        <v>1008</v>
      </c>
      <c r="H13" s="629">
        <f>I13+J13</f>
        <v>14781</v>
      </c>
      <c r="I13" s="629">
        <v>261</v>
      </c>
      <c r="J13" s="629">
        <v>14520</v>
      </c>
    </row>
    <row r="14" spans="1:10" x14ac:dyDescent="0.2">
      <c r="A14" s="630">
        <v>2</v>
      </c>
      <c r="B14" s="29" t="s">
        <v>56</v>
      </c>
      <c r="C14" s="28" t="s">
        <v>57</v>
      </c>
      <c r="D14" s="629">
        <f t="shared" ref="D14:D77" si="2">E14+F14</f>
        <v>9996</v>
      </c>
      <c r="E14" s="629">
        <v>0</v>
      </c>
      <c r="F14" s="629">
        <f t="shared" ref="F14:F77" si="3">G14+H14</f>
        <v>9996</v>
      </c>
      <c r="G14" s="629">
        <v>316</v>
      </c>
      <c r="H14" s="629">
        <f t="shared" ref="H14:H77" si="4">I14+J14</f>
        <v>9680</v>
      </c>
      <c r="I14" s="629">
        <v>395</v>
      </c>
      <c r="J14" s="629">
        <v>9285</v>
      </c>
    </row>
    <row r="15" spans="1:10" x14ac:dyDescent="0.2">
      <c r="A15" s="630">
        <v>3</v>
      </c>
      <c r="B15" s="21" t="s">
        <v>16</v>
      </c>
      <c r="C15" s="22" t="s">
        <v>17</v>
      </c>
      <c r="D15" s="629">
        <f t="shared" si="2"/>
        <v>34284</v>
      </c>
      <c r="E15" s="629">
        <v>0</v>
      </c>
      <c r="F15" s="629">
        <f t="shared" si="3"/>
        <v>34284</v>
      </c>
      <c r="G15" s="629">
        <v>792</v>
      </c>
      <c r="H15" s="629">
        <f t="shared" si="4"/>
        <v>33492</v>
      </c>
      <c r="I15" s="629">
        <v>0</v>
      </c>
      <c r="J15" s="629">
        <v>33492</v>
      </c>
    </row>
    <row r="16" spans="1:10" x14ac:dyDescent="0.2">
      <c r="A16" s="630">
        <v>4</v>
      </c>
      <c r="B16" s="27" t="s">
        <v>58</v>
      </c>
      <c r="C16" s="28" t="s">
        <v>59</v>
      </c>
      <c r="D16" s="629">
        <f t="shared" si="2"/>
        <v>10811</v>
      </c>
      <c r="E16" s="629">
        <v>0</v>
      </c>
      <c r="F16" s="629">
        <f t="shared" si="3"/>
        <v>10811</v>
      </c>
      <c r="G16" s="629">
        <v>150</v>
      </c>
      <c r="H16" s="629">
        <f t="shared" si="4"/>
        <v>10661</v>
      </c>
      <c r="I16" s="629">
        <v>0</v>
      </c>
      <c r="J16" s="629">
        <v>10661</v>
      </c>
    </row>
    <row r="17" spans="1:10" x14ac:dyDescent="0.2">
      <c r="A17" s="630">
        <v>5</v>
      </c>
      <c r="B17" s="27" t="s">
        <v>60</v>
      </c>
      <c r="C17" s="28" t="s">
        <v>61</v>
      </c>
      <c r="D17" s="629">
        <f t="shared" si="2"/>
        <v>16125</v>
      </c>
      <c r="E17" s="629">
        <v>0</v>
      </c>
      <c r="F17" s="629">
        <f t="shared" si="3"/>
        <v>16125</v>
      </c>
      <c r="G17" s="629">
        <v>420</v>
      </c>
      <c r="H17" s="629">
        <f t="shared" si="4"/>
        <v>15705</v>
      </c>
      <c r="I17" s="629">
        <v>59</v>
      </c>
      <c r="J17" s="629">
        <v>15646</v>
      </c>
    </row>
    <row r="18" spans="1:10" x14ac:dyDescent="0.2">
      <c r="A18" s="630">
        <v>6</v>
      </c>
      <c r="B18" s="21" t="s">
        <v>18</v>
      </c>
      <c r="C18" s="22" t="s">
        <v>19</v>
      </c>
      <c r="D18" s="629">
        <f t="shared" si="2"/>
        <v>49963</v>
      </c>
      <c r="E18" s="629">
        <v>0</v>
      </c>
      <c r="F18" s="629">
        <f t="shared" si="3"/>
        <v>49963</v>
      </c>
      <c r="G18" s="629">
        <v>2235</v>
      </c>
      <c r="H18" s="629">
        <f t="shared" si="4"/>
        <v>47728</v>
      </c>
      <c r="I18" s="629">
        <v>0</v>
      </c>
      <c r="J18" s="629">
        <v>47728</v>
      </c>
    </row>
    <row r="19" spans="1:10" x14ac:dyDescent="0.2">
      <c r="A19" s="630">
        <v>7</v>
      </c>
      <c r="B19" s="48" t="s">
        <v>62</v>
      </c>
      <c r="C19" s="49" t="s">
        <v>63</v>
      </c>
      <c r="D19" s="629">
        <f t="shared" si="2"/>
        <v>29983</v>
      </c>
      <c r="E19" s="629">
        <v>0</v>
      </c>
      <c r="F19" s="629">
        <f t="shared" si="3"/>
        <v>29983</v>
      </c>
      <c r="G19" s="629">
        <v>417</v>
      </c>
      <c r="H19" s="629">
        <f t="shared" si="4"/>
        <v>29566</v>
      </c>
      <c r="I19" s="629">
        <v>10</v>
      </c>
      <c r="J19" s="629">
        <v>29556</v>
      </c>
    </row>
    <row r="20" spans="1:10" x14ac:dyDescent="0.2">
      <c r="A20" s="630">
        <v>8</v>
      </c>
      <c r="B20" s="21" t="s">
        <v>64</v>
      </c>
      <c r="C20" s="22" t="s">
        <v>65</v>
      </c>
      <c r="D20" s="629">
        <f t="shared" si="2"/>
        <v>9877</v>
      </c>
      <c r="E20" s="629">
        <v>0</v>
      </c>
      <c r="F20" s="629">
        <f t="shared" si="3"/>
        <v>9877</v>
      </c>
      <c r="G20" s="629">
        <v>990</v>
      </c>
      <c r="H20" s="629">
        <f t="shared" si="4"/>
        <v>8887</v>
      </c>
      <c r="I20" s="629">
        <v>0</v>
      </c>
      <c r="J20" s="629">
        <v>8887</v>
      </c>
    </row>
    <row r="21" spans="1:10" x14ac:dyDescent="0.2">
      <c r="A21" s="630">
        <v>9</v>
      </c>
      <c r="B21" s="21" t="s">
        <v>66</v>
      </c>
      <c r="C21" s="22" t="s">
        <v>67</v>
      </c>
      <c r="D21" s="629">
        <f t="shared" si="2"/>
        <v>12474</v>
      </c>
      <c r="E21" s="629">
        <v>0</v>
      </c>
      <c r="F21" s="629">
        <f t="shared" si="3"/>
        <v>12474</v>
      </c>
      <c r="G21" s="629">
        <v>20</v>
      </c>
      <c r="H21" s="629">
        <f t="shared" si="4"/>
        <v>12454</v>
      </c>
      <c r="I21" s="629">
        <v>0</v>
      </c>
      <c r="J21" s="629">
        <v>12454</v>
      </c>
    </row>
    <row r="22" spans="1:10" x14ac:dyDescent="0.2">
      <c r="A22" s="630">
        <v>10</v>
      </c>
      <c r="B22" s="21" t="s">
        <v>68</v>
      </c>
      <c r="C22" s="22" t="s">
        <v>69</v>
      </c>
      <c r="D22" s="629">
        <f t="shared" si="2"/>
        <v>18290</v>
      </c>
      <c r="E22" s="629">
        <v>0</v>
      </c>
      <c r="F22" s="629">
        <f t="shared" si="3"/>
        <v>18290</v>
      </c>
      <c r="G22" s="629">
        <v>188</v>
      </c>
      <c r="H22" s="629">
        <f t="shared" si="4"/>
        <v>18102</v>
      </c>
      <c r="I22" s="629">
        <v>0</v>
      </c>
      <c r="J22" s="629">
        <v>18102</v>
      </c>
    </row>
    <row r="23" spans="1:10" x14ac:dyDescent="0.2">
      <c r="A23" s="630">
        <v>11</v>
      </c>
      <c r="B23" s="21" t="s">
        <v>70</v>
      </c>
      <c r="C23" s="22" t="s">
        <v>71</v>
      </c>
      <c r="D23" s="629">
        <f t="shared" si="2"/>
        <v>14791</v>
      </c>
      <c r="E23" s="629">
        <v>0</v>
      </c>
      <c r="F23" s="629">
        <f t="shared" si="3"/>
        <v>14791</v>
      </c>
      <c r="G23" s="629">
        <v>240</v>
      </c>
      <c r="H23" s="629">
        <f t="shared" si="4"/>
        <v>14551</v>
      </c>
      <c r="I23" s="629">
        <v>0</v>
      </c>
      <c r="J23" s="629">
        <v>14551</v>
      </c>
    </row>
    <row r="24" spans="1:10" x14ac:dyDescent="0.2">
      <c r="A24" s="630">
        <v>12</v>
      </c>
      <c r="B24" s="21" t="s">
        <v>72</v>
      </c>
      <c r="C24" s="22" t="s">
        <v>73</v>
      </c>
      <c r="D24" s="629">
        <f t="shared" si="2"/>
        <v>14802</v>
      </c>
      <c r="E24" s="629">
        <v>0</v>
      </c>
      <c r="F24" s="629">
        <f t="shared" si="3"/>
        <v>14802</v>
      </c>
      <c r="G24" s="629">
        <v>150</v>
      </c>
      <c r="H24" s="629">
        <f t="shared" si="4"/>
        <v>14652</v>
      </c>
      <c r="I24" s="629">
        <v>0</v>
      </c>
      <c r="J24" s="629">
        <v>14652</v>
      </c>
    </row>
    <row r="25" spans="1:10" x14ac:dyDescent="0.2">
      <c r="A25" s="630">
        <v>13</v>
      </c>
      <c r="B25" s="21" t="s">
        <v>74</v>
      </c>
      <c r="C25" s="22" t="s">
        <v>75</v>
      </c>
      <c r="D25" s="629">
        <f t="shared" si="2"/>
        <v>0</v>
      </c>
      <c r="E25" s="629">
        <v>0</v>
      </c>
      <c r="F25" s="629">
        <f t="shared" si="3"/>
        <v>0</v>
      </c>
      <c r="G25" s="629">
        <v>0</v>
      </c>
      <c r="H25" s="629">
        <f t="shared" si="4"/>
        <v>0</v>
      </c>
      <c r="I25" s="629">
        <v>0</v>
      </c>
      <c r="J25" s="629">
        <v>0</v>
      </c>
    </row>
    <row r="26" spans="1:10" x14ac:dyDescent="0.2">
      <c r="A26" s="630">
        <v>14</v>
      </c>
      <c r="B26" s="21" t="s">
        <v>76</v>
      </c>
      <c r="C26" s="22" t="s">
        <v>77</v>
      </c>
      <c r="D26" s="629">
        <f t="shared" si="2"/>
        <v>14425</v>
      </c>
      <c r="E26" s="629">
        <v>0</v>
      </c>
      <c r="F26" s="629">
        <f t="shared" si="3"/>
        <v>14425</v>
      </c>
      <c r="G26" s="629">
        <v>268</v>
      </c>
      <c r="H26" s="629">
        <f t="shared" si="4"/>
        <v>14157</v>
      </c>
      <c r="I26" s="629">
        <v>0</v>
      </c>
      <c r="J26" s="629">
        <v>14157</v>
      </c>
    </row>
    <row r="27" spans="1:10" x14ac:dyDescent="0.2">
      <c r="A27" s="630">
        <v>15</v>
      </c>
      <c r="B27" s="21" t="s">
        <v>78</v>
      </c>
      <c r="C27" s="22" t="s">
        <v>79</v>
      </c>
      <c r="D27" s="629">
        <f t="shared" si="2"/>
        <v>10014</v>
      </c>
      <c r="E27" s="629">
        <v>0</v>
      </c>
      <c r="F27" s="629">
        <f t="shared" si="3"/>
        <v>10014</v>
      </c>
      <c r="G27" s="629">
        <v>224</v>
      </c>
      <c r="H27" s="629">
        <f t="shared" si="4"/>
        <v>9790</v>
      </c>
      <c r="I27" s="629">
        <v>0</v>
      </c>
      <c r="J27" s="629">
        <v>9790</v>
      </c>
    </row>
    <row r="28" spans="1:10" x14ac:dyDescent="0.2">
      <c r="A28" s="630">
        <v>16</v>
      </c>
      <c r="B28" s="21" t="s">
        <v>80</v>
      </c>
      <c r="C28" s="22" t="s">
        <v>81</v>
      </c>
      <c r="D28" s="629">
        <f t="shared" si="2"/>
        <v>21991</v>
      </c>
      <c r="E28" s="629">
        <v>0</v>
      </c>
      <c r="F28" s="629">
        <f t="shared" si="3"/>
        <v>21991</v>
      </c>
      <c r="G28" s="629">
        <v>800</v>
      </c>
      <c r="H28" s="629">
        <f t="shared" si="4"/>
        <v>21191</v>
      </c>
      <c r="I28" s="629">
        <v>0</v>
      </c>
      <c r="J28" s="629">
        <v>21191</v>
      </c>
    </row>
    <row r="29" spans="1:10" x14ac:dyDescent="0.2">
      <c r="A29" s="630">
        <v>17</v>
      </c>
      <c r="B29" s="21" t="s">
        <v>20</v>
      </c>
      <c r="C29" s="22" t="s">
        <v>21</v>
      </c>
      <c r="D29" s="629">
        <f t="shared" si="2"/>
        <v>35355</v>
      </c>
      <c r="E29" s="629">
        <v>0</v>
      </c>
      <c r="F29" s="629">
        <f t="shared" si="3"/>
        <v>35355</v>
      </c>
      <c r="G29" s="629">
        <v>350</v>
      </c>
      <c r="H29" s="629">
        <f t="shared" si="4"/>
        <v>35005</v>
      </c>
      <c r="I29" s="629">
        <v>0</v>
      </c>
      <c r="J29" s="629">
        <v>35005</v>
      </c>
    </row>
    <row r="30" spans="1:10" x14ac:dyDescent="0.2">
      <c r="A30" s="630">
        <v>18</v>
      </c>
      <c r="B30" s="27" t="s">
        <v>82</v>
      </c>
      <c r="C30" s="28" t="s">
        <v>83</v>
      </c>
      <c r="D30" s="629">
        <f t="shared" si="2"/>
        <v>6744</v>
      </c>
      <c r="E30" s="629">
        <v>0</v>
      </c>
      <c r="F30" s="629">
        <f t="shared" si="3"/>
        <v>6744</v>
      </c>
      <c r="G30" s="629">
        <v>1100</v>
      </c>
      <c r="H30" s="629">
        <f t="shared" si="4"/>
        <v>5644</v>
      </c>
      <c r="I30" s="629">
        <v>13</v>
      </c>
      <c r="J30" s="629">
        <v>5631</v>
      </c>
    </row>
    <row r="31" spans="1:10" x14ac:dyDescent="0.2">
      <c r="A31" s="630">
        <v>19</v>
      </c>
      <c r="B31" s="27" t="s">
        <v>84</v>
      </c>
      <c r="C31" s="28" t="s">
        <v>85</v>
      </c>
      <c r="D31" s="629">
        <f t="shared" si="2"/>
        <v>10427</v>
      </c>
      <c r="E31" s="629">
        <v>0</v>
      </c>
      <c r="F31" s="629">
        <f t="shared" si="3"/>
        <v>10427</v>
      </c>
      <c r="G31" s="629">
        <v>1464</v>
      </c>
      <c r="H31" s="629">
        <f t="shared" si="4"/>
        <v>8963</v>
      </c>
      <c r="I31" s="629">
        <v>0</v>
      </c>
      <c r="J31" s="629">
        <v>8963</v>
      </c>
    </row>
    <row r="32" spans="1:10" x14ac:dyDescent="0.2">
      <c r="A32" s="630">
        <v>20</v>
      </c>
      <c r="B32" s="27" t="s">
        <v>86</v>
      </c>
      <c r="C32" s="28" t="s">
        <v>87</v>
      </c>
      <c r="D32" s="629">
        <f t="shared" si="2"/>
        <v>25351</v>
      </c>
      <c r="E32" s="629">
        <v>0</v>
      </c>
      <c r="F32" s="629">
        <f t="shared" si="3"/>
        <v>25351</v>
      </c>
      <c r="G32" s="629">
        <v>1111</v>
      </c>
      <c r="H32" s="629">
        <f t="shared" si="4"/>
        <v>24240</v>
      </c>
      <c r="I32" s="629">
        <v>0</v>
      </c>
      <c r="J32" s="629">
        <v>24240</v>
      </c>
    </row>
    <row r="33" spans="1:10" x14ac:dyDescent="0.2">
      <c r="A33" s="630">
        <v>21</v>
      </c>
      <c r="B33" s="27" t="s">
        <v>22</v>
      </c>
      <c r="C33" s="28" t="s">
        <v>23</v>
      </c>
      <c r="D33" s="629">
        <f t="shared" si="2"/>
        <v>17746</v>
      </c>
      <c r="E33" s="629">
        <v>0</v>
      </c>
      <c r="F33" s="629">
        <f t="shared" si="3"/>
        <v>17746</v>
      </c>
      <c r="G33" s="629">
        <v>92</v>
      </c>
      <c r="H33" s="629">
        <f t="shared" si="4"/>
        <v>17654</v>
      </c>
      <c r="I33" s="629">
        <v>0</v>
      </c>
      <c r="J33" s="629">
        <v>17654</v>
      </c>
    </row>
    <row r="34" spans="1:10" x14ac:dyDescent="0.2">
      <c r="A34" s="630">
        <v>22</v>
      </c>
      <c r="B34" s="21" t="s">
        <v>24</v>
      </c>
      <c r="C34" s="22" t="s">
        <v>25</v>
      </c>
      <c r="D34" s="629">
        <f t="shared" si="2"/>
        <v>4530</v>
      </c>
      <c r="E34" s="629">
        <v>0</v>
      </c>
      <c r="F34" s="629">
        <f t="shared" si="3"/>
        <v>4530</v>
      </c>
      <c r="G34" s="629">
        <v>217</v>
      </c>
      <c r="H34" s="629">
        <f t="shared" si="4"/>
        <v>4313</v>
      </c>
      <c r="I34" s="629">
        <v>0</v>
      </c>
      <c r="J34" s="629">
        <v>4313</v>
      </c>
    </row>
    <row r="35" spans="1:10" x14ac:dyDescent="0.2">
      <c r="A35" s="630">
        <v>23</v>
      </c>
      <c r="B35" s="21" t="s">
        <v>88</v>
      </c>
      <c r="C35" s="22" t="s">
        <v>89</v>
      </c>
      <c r="D35" s="629">
        <f t="shared" si="2"/>
        <v>0</v>
      </c>
      <c r="E35" s="629">
        <v>0</v>
      </c>
      <c r="F35" s="629">
        <f t="shared" si="3"/>
        <v>0</v>
      </c>
      <c r="G35" s="629">
        <v>0</v>
      </c>
      <c r="H35" s="629">
        <v>0</v>
      </c>
      <c r="I35" s="629">
        <v>0</v>
      </c>
      <c r="J35" s="629">
        <v>0</v>
      </c>
    </row>
    <row r="36" spans="1:10" ht="15" customHeight="1" x14ac:dyDescent="0.2">
      <c r="A36" s="630">
        <v>24</v>
      </c>
      <c r="B36" s="21" t="s">
        <v>90</v>
      </c>
      <c r="C36" s="22" t="s">
        <v>91</v>
      </c>
      <c r="D36" s="629">
        <f t="shared" si="2"/>
        <v>0</v>
      </c>
      <c r="E36" s="629">
        <v>0</v>
      </c>
      <c r="F36" s="629">
        <f t="shared" si="3"/>
        <v>0</v>
      </c>
      <c r="G36" s="629">
        <v>0</v>
      </c>
      <c r="H36" s="629">
        <v>0</v>
      </c>
      <c r="I36" s="629">
        <v>0</v>
      </c>
      <c r="J36" s="629">
        <v>0</v>
      </c>
    </row>
    <row r="37" spans="1:10" x14ac:dyDescent="0.2">
      <c r="A37" s="933">
        <v>25</v>
      </c>
      <c r="B37" s="617" t="s">
        <v>92</v>
      </c>
      <c r="C37" s="56" t="s">
        <v>771</v>
      </c>
      <c r="D37" s="629">
        <f t="shared" si="2"/>
        <v>99631</v>
      </c>
      <c r="E37" s="629">
        <v>0</v>
      </c>
      <c r="F37" s="629">
        <f t="shared" si="3"/>
        <v>99631</v>
      </c>
      <c r="G37" s="629">
        <v>18317</v>
      </c>
      <c r="H37" s="629">
        <f t="shared" si="4"/>
        <v>81314</v>
      </c>
      <c r="I37" s="629">
        <v>33</v>
      </c>
      <c r="J37" s="629">
        <v>81281</v>
      </c>
    </row>
    <row r="38" spans="1:10" x14ac:dyDescent="0.2">
      <c r="A38" s="935"/>
      <c r="B38" s="166" t="s">
        <v>94</v>
      </c>
      <c r="C38" s="49" t="s">
        <v>95</v>
      </c>
      <c r="D38" s="629">
        <f t="shared" si="2"/>
        <v>0</v>
      </c>
      <c r="E38" s="629">
        <v>0</v>
      </c>
      <c r="F38" s="629">
        <f t="shared" si="3"/>
        <v>0</v>
      </c>
      <c r="G38" s="629">
        <v>0</v>
      </c>
      <c r="H38" s="629">
        <f t="shared" si="4"/>
        <v>0</v>
      </c>
      <c r="I38" s="629">
        <v>0</v>
      </c>
      <c r="J38" s="629">
        <v>0</v>
      </c>
    </row>
    <row r="39" spans="1:10" x14ac:dyDescent="0.2">
      <c r="A39" s="630">
        <v>26</v>
      </c>
      <c r="B39" s="29" t="s">
        <v>96</v>
      </c>
      <c r="C39" s="49" t="s">
        <v>97</v>
      </c>
      <c r="D39" s="629">
        <f t="shared" si="2"/>
        <v>0</v>
      </c>
      <c r="E39" s="629">
        <v>0</v>
      </c>
      <c r="F39" s="629">
        <f t="shared" si="3"/>
        <v>0</v>
      </c>
      <c r="G39" s="629">
        <v>0</v>
      </c>
      <c r="H39" s="629">
        <f t="shared" si="4"/>
        <v>0</v>
      </c>
      <c r="I39" s="629">
        <v>0</v>
      </c>
      <c r="J39" s="629">
        <v>0</v>
      </c>
    </row>
    <row r="40" spans="1:10" x14ac:dyDescent="0.2">
      <c r="A40" s="630">
        <v>27</v>
      </c>
      <c r="B40" s="29" t="s">
        <v>26</v>
      </c>
      <c r="C40" s="28" t="s">
        <v>27</v>
      </c>
      <c r="D40" s="629">
        <f t="shared" si="2"/>
        <v>17940</v>
      </c>
      <c r="E40" s="629">
        <v>0</v>
      </c>
      <c r="F40" s="629">
        <f t="shared" si="3"/>
        <v>17940</v>
      </c>
      <c r="G40" s="629">
        <v>12</v>
      </c>
      <c r="H40" s="629">
        <f t="shared" si="4"/>
        <v>17928</v>
      </c>
      <c r="I40" s="629">
        <v>1545</v>
      </c>
      <c r="J40" s="629">
        <v>16383</v>
      </c>
    </row>
    <row r="41" spans="1:10" x14ac:dyDescent="0.2">
      <c r="A41" s="630">
        <v>28</v>
      </c>
      <c r="B41" s="48" t="s">
        <v>98</v>
      </c>
      <c r="C41" s="49" t="s">
        <v>99</v>
      </c>
      <c r="D41" s="629">
        <f t="shared" si="2"/>
        <v>60616</v>
      </c>
      <c r="E41" s="629">
        <v>0</v>
      </c>
      <c r="F41" s="629">
        <f t="shared" si="3"/>
        <v>60616</v>
      </c>
      <c r="G41" s="629">
        <v>2800</v>
      </c>
      <c r="H41" s="629">
        <f t="shared" si="4"/>
        <v>57816</v>
      </c>
      <c r="I41" s="629">
        <v>0</v>
      </c>
      <c r="J41" s="629">
        <v>57816</v>
      </c>
    </row>
    <row r="42" spans="1:10" x14ac:dyDescent="0.2">
      <c r="A42" s="630">
        <v>29</v>
      </c>
      <c r="B42" s="29" t="s">
        <v>100</v>
      </c>
      <c r="C42" s="28" t="s">
        <v>101</v>
      </c>
      <c r="D42" s="629">
        <f t="shared" si="2"/>
        <v>8947</v>
      </c>
      <c r="E42" s="629">
        <v>0</v>
      </c>
      <c r="F42" s="629">
        <f t="shared" si="3"/>
        <v>8947</v>
      </c>
      <c r="G42" s="629">
        <v>265</v>
      </c>
      <c r="H42" s="629">
        <f t="shared" si="4"/>
        <v>8682</v>
      </c>
      <c r="I42" s="629">
        <v>0</v>
      </c>
      <c r="J42" s="629">
        <v>8682</v>
      </c>
    </row>
    <row r="43" spans="1:10" x14ac:dyDescent="0.2">
      <c r="A43" s="630">
        <v>30</v>
      </c>
      <c r="B43" s="21" t="s">
        <v>102</v>
      </c>
      <c r="C43" s="22" t="s">
        <v>103</v>
      </c>
      <c r="D43" s="629">
        <f t="shared" si="2"/>
        <v>43090</v>
      </c>
      <c r="E43" s="629">
        <v>0</v>
      </c>
      <c r="F43" s="629">
        <f t="shared" si="3"/>
        <v>43090</v>
      </c>
      <c r="G43" s="629">
        <v>2753</v>
      </c>
      <c r="H43" s="629">
        <f t="shared" si="4"/>
        <v>40337</v>
      </c>
      <c r="I43" s="629">
        <v>209</v>
      </c>
      <c r="J43" s="629">
        <v>40128</v>
      </c>
    </row>
    <row r="44" spans="1:10" x14ac:dyDescent="0.2">
      <c r="A44" s="630">
        <v>31</v>
      </c>
      <c r="B44" s="29" t="s">
        <v>104</v>
      </c>
      <c r="C44" s="28" t="s">
        <v>105</v>
      </c>
      <c r="D44" s="629">
        <f t="shared" si="2"/>
        <v>10571</v>
      </c>
      <c r="E44" s="629">
        <v>0</v>
      </c>
      <c r="F44" s="629">
        <f t="shared" si="3"/>
        <v>10571</v>
      </c>
      <c r="G44" s="629">
        <v>52</v>
      </c>
      <c r="H44" s="629">
        <f t="shared" si="4"/>
        <v>10519</v>
      </c>
      <c r="I44" s="629">
        <v>227</v>
      </c>
      <c r="J44" s="629">
        <v>10292</v>
      </c>
    </row>
    <row r="45" spans="1:10" x14ac:dyDescent="0.2">
      <c r="A45" s="630">
        <v>32</v>
      </c>
      <c r="B45" s="27" t="s">
        <v>106</v>
      </c>
      <c r="C45" s="28" t="s">
        <v>107</v>
      </c>
      <c r="D45" s="629">
        <f t="shared" si="2"/>
        <v>24367</v>
      </c>
      <c r="E45" s="629">
        <v>0</v>
      </c>
      <c r="F45" s="629">
        <f t="shared" si="3"/>
        <v>24367</v>
      </c>
      <c r="G45" s="629">
        <v>987</v>
      </c>
      <c r="H45" s="629">
        <f t="shared" si="4"/>
        <v>23380</v>
      </c>
      <c r="I45" s="629">
        <v>0</v>
      </c>
      <c r="J45" s="629">
        <v>23380</v>
      </c>
    </row>
    <row r="46" spans="1:10" x14ac:dyDescent="0.2">
      <c r="A46" s="630">
        <v>33</v>
      </c>
      <c r="B46" s="631" t="s">
        <v>108</v>
      </c>
      <c r="C46" s="632" t="s">
        <v>109</v>
      </c>
      <c r="D46" s="629">
        <f t="shared" si="2"/>
        <v>13232</v>
      </c>
      <c r="E46" s="629">
        <v>0</v>
      </c>
      <c r="F46" s="629">
        <f t="shared" si="3"/>
        <v>13232</v>
      </c>
      <c r="G46" s="629">
        <v>300</v>
      </c>
      <c r="H46" s="629">
        <f t="shared" si="4"/>
        <v>12932</v>
      </c>
      <c r="I46" s="629">
        <v>609</v>
      </c>
      <c r="J46" s="629">
        <v>12323</v>
      </c>
    </row>
    <row r="47" spans="1:10" x14ac:dyDescent="0.2">
      <c r="A47" s="630">
        <v>34</v>
      </c>
      <c r="B47" s="27" t="s">
        <v>110</v>
      </c>
      <c r="C47" s="28" t="s">
        <v>111</v>
      </c>
      <c r="D47" s="629">
        <f t="shared" si="2"/>
        <v>9143</v>
      </c>
      <c r="E47" s="629">
        <v>0</v>
      </c>
      <c r="F47" s="629">
        <f t="shared" si="3"/>
        <v>9143</v>
      </c>
      <c r="G47" s="629">
        <v>510</v>
      </c>
      <c r="H47" s="629">
        <f t="shared" si="4"/>
        <v>8633</v>
      </c>
      <c r="I47" s="629">
        <v>0</v>
      </c>
      <c r="J47" s="629">
        <v>8633</v>
      </c>
    </row>
    <row r="48" spans="1:10" x14ac:dyDescent="0.2">
      <c r="A48" s="630">
        <v>35</v>
      </c>
      <c r="B48" s="48" t="s">
        <v>112</v>
      </c>
      <c r="C48" s="49" t="s">
        <v>113</v>
      </c>
      <c r="D48" s="629">
        <f t="shared" si="2"/>
        <v>25241</v>
      </c>
      <c r="E48" s="629">
        <v>0</v>
      </c>
      <c r="F48" s="629">
        <f t="shared" si="3"/>
        <v>25241</v>
      </c>
      <c r="G48" s="629">
        <v>331</v>
      </c>
      <c r="H48" s="629">
        <f t="shared" si="4"/>
        <v>24910</v>
      </c>
      <c r="I48" s="629">
        <v>11</v>
      </c>
      <c r="J48" s="629">
        <v>24899</v>
      </c>
    </row>
    <row r="49" spans="1:10" x14ac:dyDescent="0.2">
      <c r="A49" s="630">
        <v>36</v>
      </c>
      <c r="B49" s="21" t="s">
        <v>114</v>
      </c>
      <c r="C49" s="22" t="s">
        <v>115</v>
      </c>
      <c r="D49" s="629">
        <f t="shared" si="2"/>
        <v>7531</v>
      </c>
      <c r="E49" s="629">
        <v>0</v>
      </c>
      <c r="F49" s="629">
        <f t="shared" si="3"/>
        <v>7531</v>
      </c>
      <c r="G49" s="629">
        <v>855</v>
      </c>
      <c r="H49" s="629">
        <f t="shared" si="4"/>
        <v>6676</v>
      </c>
      <c r="I49" s="629">
        <v>45</v>
      </c>
      <c r="J49" s="629">
        <v>6631</v>
      </c>
    </row>
    <row r="50" spans="1:10" x14ac:dyDescent="0.2">
      <c r="A50" s="630">
        <v>37</v>
      </c>
      <c r="B50" s="29" t="s">
        <v>116</v>
      </c>
      <c r="C50" s="28" t="s">
        <v>117</v>
      </c>
      <c r="D50" s="629">
        <f t="shared" si="2"/>
        <v>1800</v>
      </c>
      <c r="E50" s="629">
        <v>0</v>
      </c>
      <c r="F50" s="629">
        <f t="shared" si="3"/>
        <v>1800</v>
      </c>
      <c r="G50" s="629">
        <v>5</v>
      </c>
      <c r="H50" s="629">
        <f t="shared" si="4"/>
        <v>1795</v>
      </c>
      <c r="I50" s="629">
        <v>0</v>
      </c>
      <c r="J50" s="629">
        <v>1795</v>
      </c>
    </row>
    <row r="51" spans="1:10" x14ac:dyDescent="0.2">
      <c r="A51" s="630">
        <v>38</v>
      </c>
      <c r="B51" s="21" t="s">
        <v>28</v>
      </c>
      <c r="C51" s="22" t="s">
        <v>29</v>
      </c>
      <c r="D51" s="629">
        <f t="shared" si="2"/>
        <v>33849</v>
      </c>
      <c r="E51" s="629">
        <v>0</v>
      </c>
      <c r="F51" s="629">
        <f t="shared" si="3"/>
        <v>33849</v>
      </c>
      <c r="G51" s="629">
        <v>87</v>
      </c>
      <c r="H51" s="629">
        <f t="shared" si="4"/>
        <v>33762</v>
      </c>
      <c r="I51" s="629">
        <v>0</v>
      </c>
      <c r="J51" s="629">
        <v>33762</v>
      </c>
    </row>
    <row r="52" spans="1:10" x14ac:dyDescent="0.2">
      <c r="A52" s="630">
        <v>39</v>
      </c>
      <c r="B52" s="27" t="s">
        <v>118</v>
      </c>
      <c r="C52" s="28" t="s">
        <v>119</v>
      </c>
      <c r="D52" s="629">
        <f t="shared" si="2"/>
        <v>16587</v>
      </c>
      <c r="E52" s="629">
        <v>0</v>
      </c>
      <c r="F52" s="629">
        <f t="shared" si="3"/>
        <v>16587</v>
      </c>
      <c r="G52" s="629">
        <v>396</v>
      </c>
      <c r="H52" s="629">
        <f t="shared" si="4"/>
        <v>16191</v>
      </c>
      <c r="I52" s="629">
        <v>0</v>
      </c>
      <c r="J52" s="629">
        <v>16191</v>
      </c>
    </row>
    <row r="53" spans="1:10" x14ac:dyDescent="0.2">
      <c r="A53" s="630">
        <v>40</v>
      </c>
      <c r="B53" s="27" t="s">
        <v>120</v>
      </c>
      <c r="C53" s="28" t="s">
        <v>121</v>
      </c>
      <c r="D53" s="629">
        <f t="shared" si="2"/>
        <v>24128</v>
      </c>
      <c r="E53" s="629">
        <v>0</v>
      </c>
      <c r="F53" s="629">
        <f t="shared" si="3"/>
        <v>24128</v>
      </c>
      <c r="G53" s="629">
        <v>44</v>
      </c>
      <c r="H53" s="629">
        <f t="shared" si="4"/>
        <v>24084</v>
      </c>
      <c r="I53" s="629">
        <v>0</v>
      </c>
      <c r="J53" s="629">
        <v>24084</v>
      </c>
    </row>
    <row r="54" spans="1:10" x14ac:dyDescent="0.2">
      <c r="A54" s="630">
        <v>41</v>
      </c>
      <c r="B54" s="21" t="s">
        <v>122</v>
      </c>
      <c r="C54" s="22" t="s">
        <v>123</v>
      </c>
      <c r="D54" s="629">
        <f t="shared" si="2"/>
        <v>12494</v>
      </c>
      <c r="E54" s="629">
        <v>0</v>
      </c>
      <c r="F54" s="629">
        <f t="shared" si="3"/>
        <v>12494</v>
      </c>
      <c r="G54" s="629">
        <v>517</v>
      </c>
      <c r="H54" s="629">
        <f t="shared" si="4"/>
        <v>11977</v>
      </c>
      <c r="I54" s="629">
        <v>0</v>
      </c>
      <c r="J54" s="629">
        <v>11977</v>
      </c>
    </row>
    <row r="55" spans="1:10" x14ac:dyDescent="0.2">
      <c r="A55" s="630">
        <v>42</v>
      </c>
      <c r="B55" s="29" t="s">
        <v>124</v>
      </c>
      <c r="C55" s="28" t="s">
        <v>125</v>
      </c>
      <c r="D55" s="629">
        <f t="shared" si="2"/>
        <v>9379</v>
      </c>
      <c r="E55" s="629">
        <v>0</v>
      </c>
      <c r="F55" s="629">
        <f t="shared" si="3"/>
        <v>9379</v>
      </c>
      <c r="G55" s="629">
        <v>1080</v>
      </c>
      <c r="H55" s="629">
        <f t="shared" si="4"/>
        <v>8299</v>
      </c>
      <c r="I55" s="629">
        <v>0</v>
      </c>
      <c r="J55" s="629">
        <v>8299</v>
      </c>
    </row>
    <row r="56" spans="1:10" x14ac:dyDescent="0.2">
      <c r="A56" s="630">
        <v>43</v>
      </c>
      <c r="B56" s="21" t="s">
        <v>126</v>
      </c>
      <c r="C56" s="22" t="s">
        <v>127</v>
      </c>
      <c r="D56" s="629">
        <f t="shared" si="2"/>
        <v>10786</v>
      </c>
      <c r="E56" s="629">
        <v>0</v>
      </c>
      <c r="F56" s="629">
        <f t="shared" si="3"/>
        <v>10786</v>
      </c>
      <c r="G56" s="629">
        <v>200</v>
      </c>
      <c r="H56" s="629">
        <f t="shared" si="4"/>
        <v>10586</v>
      </c>
      <c r="I56" s="629">
        <v>5</v>
      </c>
      <c r="J56" s="629">
        <v>10581</v>
      </c>
    </row>
    <row r="57" spans="1:10" x14ac:dyDescent="0.2">
      <c r="A57" s="630">
        <v>44</v>
      </c>
      <c r="B57" s="29" t="s">
        <v>128</v>
      </c>
      <c r="C57" s="28" t="s">
        <v>129</v>
      </c>
      <c r="D57" s="629">
        <f t="shared" si="2"/>
        <v>14645</v>
      </c>
      <c r="E57" s="629">
        <v>0</v>
      </c>
      <c r="F57" s="629">
        <f t="shared" si="3"/>
        <v>14645</v>
      </c>
      <c r="G57" s="629">
        <v>363</v>
      </c>
      <c r="H57" s="629">
        <f t="shared" si="4"/>
        <v>14282</v>
      </c>
      <c r="I57" s="629">
        <v>0</v>
      </c>
      <c r="J57" s="629">
        <v>14282</v>
      </c>
    </row>
    <row r="58" spans="1:10" x14ac:dyDescent="0.2">
      <c r="A58" s="630">
        <v>45</v>
      </c>
      <c r="B58" s="21" t="s">
        <v>130</v>
      </c>
      <c r="C58" s="22" t="s">
        <v>131</v>
      </c>
      <c r="D58" s="629">
        <f t="shared" si="2"/>
        <v>13130</v>
      </c>
      <c r="E58" s="629">
        <v>0</v>
      </c>
      <c r="F58" s="629">
        <f t="shared" si="3"/>
        <v>13130</v>
      </c>
      <c r="G58" s="629">
        <v>452</v>
      </c>
      <c r="H58" s="629">
        <f t="shared" si="4"/>
        <v>12678</v>
      </c>
      <c r="I58" s="629">
        <v>0</v>
      </c>
      <c r="J58" s="629">
        <v>12678</v>
      </c>
    </row>
    <row r="59" spans="1:10" x14ac:dyDescent="0.2">
      <c r="A59" s="630">
        <v>46</v>
      </c>
      <c r="B59" s="29" t="s">
        <v>132</v>
      </c>
      <c r="C59" s="28" t="s">
        <v>133</v>
      </c>
      <c r="D59" s="629">
        <f t="shared" si="2"/>
        <v>13202</v>
      </c>
      <c r="E59" s="629">
        <v>0</v>
      </c>
      <c r="F59" s="629">
        <f t="shared" si="3"/>
        <v>13202</v>
      </c>
      <c r="G59" s="629">
        <v>300</v>
      </c>
      <c r="H59" s="629">
        <f t="shared" si="4"/>
        <v>12902</v>
      </c>
      <c r="I59" s="629">
        <v>0</v>
      </c>
      <c r="J59" s="629">
        <v>12902</v>
      </c>
    </row>
    <row r="60" spans="1:10" x14ac:dyDescent="0.2">
      <c r="A60" s="630">
        <v>47</v>
      </c>
      <c r="B60" s="21" t="s">
        <v>134</v>
      </c>
      <c r="C60" s="22" t="s">
        <v>135</v>
      </c>
      <c r="D60" s="629">
        <f t="shared" si="2"/>
        <v>29636</v>
      </c>
      <c r="E60" s="629">
        <v>0</v>
      </c>
      <c r="F60" s="629">
        <f t="shared" si="3"/>
        <v>29636</v>
      </c>
      <c r="G60" s="629">
        <v>800</v>
      </c>
      <c r="H60" s="629">
        <f t="shared" si="4"/>
        <v>28836</v>
      </c>
      <c r="I60" s="629">
        <v>7</v>
      </c>
      <c r="J60" s="629">
        <v>28829</v>
      </c>
    </row>
    <row r="61" spans="1:10" x14ac:dyDescent="0.2">
      <c r="A61" s="630">
        <v>48</v>
      </c>
      <c r="B61" s="21" t="s">
        <v>136</v>
      </c>
      <c r="C61" s="22" t="s">
        <v>137</v>
      </c>
      <c r="D61" s="629">
        <f t="shared" si="2"/>
        <v>55809</v>
      </c>
      <c r="E61" s="629">
        <v>0</v>
      </c>
      <c r="F61" s="629">
        <f t="shared" si="3"/>
        <v>55809</v>
      </c>
      <c r="G61" s="629">
        <v>1765</v>
      </c>
      <c r="H61" s="629">
        <f t="shared" si="4"/>
        <v>54044</v>
      </c>
      <c r="I61" s="629">
        <v>77</v>
      </c>
      <c r="J61" s="629">
        <v>53967</v>
      </c>
    </row>
    <row r="62" spans="1:10" x14ac:dyDescent="0.2">
      <c r="A62" s="630">
        <v>49</v>
      </c>
      <c r="B62" s="21" t="s">
        <v>138</v>
      </c>
      <c r="C62" s="22" t="s">
        <v>139</v>
      </c>
      <c r="D62" s="629">
        <f t="shared" si="2"/>
        <v>15253</v>
      </c>
      <c r="E62" s="629">
        <v>0</v>
      </c>
      <c r="F62" s="629">
        <f t="shared" si="3"/>
        <v>15253</v>
      </c>
      <c r="G62" s="629">
        <v>650</v>
      </c>
      <c r="H62" s="629">
        <f t="shared" si="4"/>
        <v>14603</v>
      </c>
      <c r="I62" s="629">
        <v>384</v>
      </c>
      <c r="J62" s="629">
        <v>14219</v>
      </c>
    </row>
    <row r="63" spans="1:10" x14ac:dyDescent="0.2">
      <c r="A63" s="630">
        <v>50</v>
      </c>
      <c r="B63" s="21" t="s">
        <v>140</v>
      </c>
      <c r="C63" s="22" t="s">
        <v>141</v>
      </c>
      <c r="D63" s="629">
        <f t="shared" si="2"/>
        <v>12440</v>
      </c>
      <c r="E63" s="629">
        <v>0</v>
      </c>
      <c r="F63" s="629">
        <f t="shared" si="3"/>
        <v>12440</v>
      </c>
      <c r="G63" s="629">
        <v>180</v>
      </c>
      <c r="H63" s="629">
        <f t="shared" si="4"/>
        <v>12260</v>
      </c>
      <c r="I63" s="629">
        <v>4</v>
      </c>
      <c r="J63" s="629">
        <v>12256</v>
      </c>
    </row>
    <row r="64" spans="1:10" x14ac:dyDescent="0.2">
      <c r="A64" s="630">
        <v>51</v>
      </c>
      <c r="B64" s="29" t="s">
        <v>142</v>
      </c>
      <c r="C64" s="28" t="s">
        <v>143</v>
      </c>
      <c r="D64" s="629">
        <f t="shared" si="2"/>
        <v>8899</v>
      </c>
      <c r="E64" s="629">
        <v>0</v>
      </c>
      <c r="F64" s="629">
        <f t="shared" si="3"/>
        <v>8899</v>
      </c>
      <c r="G64" s="629">
        <v>977</v>
      </c>
      <c r="H64" s="629">
        <f t="shared" si="4"/>
        <v>7922</v>
      </c>
      <c r="I64" s="629">
        <v>706</v>
      </c>
      <c r="J64" s="629">
        <v>7216</v>
      </c>
    </row>
    <row r="65" spans="1:10" x14ac:dyDescent="0.2">
      <c r="A65" s="630">
        <v>52</v>
      </c>
      <c r="B65" s="21" t="s">
        <v>144</v>
      </c>
      <c r="C65" s="22" t="s">
        <v>145</v>
      </c>
      <c r="D65" s="629">
        <f t="shared" si="2"/>
        <v>0</v>
      </c>
      <c r="E65" s="629">
        <v>0</v>
      </c>
      <c r="F65" s="629">
        <v>0</v>
      </c>
      <c r="G65" s="629">
        <v>0</v>
      </c>
      <c r="H65" s="629">
        <v>0</v>
      </c>
      <c r="I65" s="629">
        <v>0</v>
      </c>
      <c r="J65" s="629">
        <v>0</v>
      </c>
    </row>
    <row r="66" spans="1:10" x14ac:dyDescent="0.2">
      <c r="A66" s="630">
        <v>53</v>
      </c>
      <c r="B66" s="166" t="s">
        <v>146</v>
      </c>
      <c r="C66" s="49" t="s">
        <v>147</v>
      </c>
      <c r="D66" s="629">
        <f t="shared" si="2"/>
        <v>0</v>
      </c>
      <c r="E66" s="629">
        <v>0</v>
      </c>
      <c r="F66" s="629">
        <v>0</v>
      </c>
      <c r="G66" s="629">
        <v>0</v>
      </c>
      <c r="H66" s="629">
        <v>0</v>
      </c>
      <c r="I66" s="629">
        <v>0</v>
      </c>
      <c r="J66" s="629">
        <v>0</v>
      </c>
    </row>
    <row r="67" spans="1:10" x14ac:dyDescent="0.2">
      <c r="A67" s="630">
        <v>54</v>
      </c>
      <c r="B67" s="21" t="s">
        <v>148</v>
      </c>
      <c r="C67" s="22" t="s">
        <v>149</v>
      </c>
      <c r="D67" s="629">
        <f t="shared" si="2"/>
        <v>0</v>
      </c>
      <c r="E67" s="629">
        <v>0</v>
      </c>
      <c r="F67" s="629">
        <f t="shared" si="3"/>
        <v>0</v>
      </c>
      <c r="G67" s="629">
        <v>0</v>
      </c>
      <c r="H67" s="629">
        <f t="shared" si="4"/>
        <v>0</v>
      </c>
      <c r="I67" s="629">
        <v>0</v>
      </c>
      <c r="J67" s="629">
        <v>0</v>
      </c>
    </row>
    <row r="68" spans="1:10" x14ac:dyDescent="0.2">
      <c r="A68" s="630">
        <v>55</v>
      </c>
      <c r="B68" s="29" t="s">
        <v>150</v>
      </c>
      <c r="C68" s="22" t="s">
        <v>470</v>
      </c>
      <c r="D68" s="629">
        <f t="shared" si="2"/>
        <v>0</v>
      </c>
      <c r="E68" s="629">
        <v>0</v>
      </c>
      <c r="F68" s="629">
        <f t="shared" si="3"/>
        <v>0</v>
      </c>
      <c r="G68" s="629">
        <v>0</v>
      </c>
      <c r="H68" s="629">
        <f t="shared" si="4"/>
        <v>0</v>
      </c>
      <c r="I68" s="629">
        <v>0</v>
      </c>
      <c r="J68" s="629">
        <v>0</v>
      </c>
    </row>
    <row r="69" spans="1:10" x14ac:dyDescent="0.2">
      <c r="A69" s="630">
        <v>56</v>
      </c>
      <c r="B69" s="29" t="s">
        <v>154</v>
      </c>
      <c r="C69" s="22" t="s">
        <v>471</v>
      </c>
      <c r="D69" s="629">
        <f t="shared" si="2"/>
        <v>0</v>
      </c>
      <c r="E69" s="629">
        <v>0</v>
      </c>
      <c r="F69" s="629">
        <f t="shared" si="3"/>
        <v>0</v>
      </c>
      <c r="G69" s="629">
        <v>0</v>
      </c>
      <c r="H69" s="629">
        <f t="shared" si="4"/>
        <v>0</v>
      </c>
      <c r="I69" s="629">
        <v>0</v>
      </c>
      <c r="J69" s="629">
        <v>0</v>
      </c>
    </row>
    <row r="70" spans="1:10" ht="16.5" customHeight="1" x14ac:dyDescent="0.2">
      <c r="A70" s="630">
        <v>57</v>
      </c>
      <c r="B70" s="27" t="s">
        <v>158</v>
      </c>
      <c r="C70" s="22" t="s">
        <v>472</v>
      </c>
      <c r="D70" s="629">
        <f t="shared" si="2"/>
        <v>0</v>
      </c>
      <c r="E70" s="629">
        <v>0</v>
      </c>
      <c r="F70" s="629">
        <f t="shared" si="3"/>
        <v>0</v>
      </c>
      <c r="G70" s="629">
        <v>0</v>
      </c>
      <c r="H70" s="629">
        <f t="shared" si="4"/>
        <v>0</v>
      </c>
      <c r="I70" s="629">
        <v>0</v>
      </c>
      <c r="J70" s="629">
        <v>0</v>
      </c>
    </row>
    <row r="71" spans="1:10" ht="16.5" customHeight="1" x14ac:dyDescent="0.2">
      <c r="A71" s="630">
        <v>58</v>
      </c>
      <c r="B71" s="27" t="s">
        <v>160</v>
      </c>
      <c r="C71" s="22" t="s">
        <v>473</v>
      </c>
      <c r="D71" s="629">
        <f t="shared" si="2"/>
        <v>0</v>
      </c>
      <c r="E71" s="629">
        <v>0</v>
      </c>
      <c r="F71" s="629">
        <f t="shared" si="3"/>
        <v>0</v>
      </c>
      <c r="G71" s="629">
        <v>0</v>
      </c>
      <c r="H71" s="629">
        <f t="shared" si="4"/>
        <v>0</v>
      </c>
      <c r="I71" s="629">
        <v>0</v>
      </c>
      <c r="J71" s="629">
        <v>0</v>
      </c>
    </row>
    <row r="72" spans="1:10" x14ac:dyDescent="0.2">
      <c r="A72" s="630">
        <v>59</v>
      </c>
      <c r="B72" s="29" t="s">
        <v>162</v>
      </c>
      <c r="C72" s="22" t="s">
        <v>474</v>
      </c>
      <c r="D72" s="629">
        <f t="shared" si="2"/>
        <v>38269</v>
      </c>
      <c r="E72" s="629">
        <v>0</v>
      </c>
      <c r="F72" s="629">
        <f t="shared" si="3"/>
        <v>38269</v>
      </c>
      <c r="G72" s="629">
        <v>3000</v>
      </c>
      <c r="H72" s="629">
        <f t="shared" si="4"/>
        <v>35269</v>
      </c>
      <c r="I72" s="629">
        <v>0</v>
      </c>
      <c r="J72" s="629">
        <v>35269</v>
      </c>
    </row>
    <row r="73" spans="1:10" x14ac:dyDescent="0.2">
      <c r="A73" s="630">
        <v>60</v>
      </c>
      <c r="B73" s="29" t="s">
        <v>164</v>
      </c>
      <c r="C73" s="28" t="s">
        <v>165</v>
      </c>
      <c r="D73" s="629">
        <f t="shared" si="2"/>
        <v>27602</v>
      </c>
      <c r="E73" s="629">
        <v>0</v>
      </c>
      <c r="F73" s="629">
        <f t="shared" si="3"/>
        <v>27602</v>
      </c>
      <c r="G73" s="629">
        <v>0</v>
      </c>
      <c r="H73" s="629">
        <f t="shared" si="4"/>
        <v>27602</v>
      </c>
      <c r="I73" s="629">
        <v>0</v>
      </c>
      <c r="J73" s="629">
        <v>27602</v>
      </c>
    </row>
    <row r="74" spans="1:10" x14ac:dyDescent="0.2">
      <c r="A74" s="630">
        <v>61</v>
      </c>
      <c r="B74" s="29" t="s">
        <v>166</v>
      </c>
      <c r="C74" s="22" t="s">
        <v>475</v>
      </c>
      <c r="D74" s="629">
        <f t="shared" si="2"/>
        <v>77380</v>
      </c>
      <c r="E74" s="629">
        <v>0</v>
      </c>
      <c r="F74" s="629">
        <f t="shared" si="3"/>
        <v>77380</v>
      </c>
      <c r="G74" s="629">
        <v>4251</v>
      </c>
      <c r="H74" s="629">
        <f t="shared" si="4"/>
        <v>73129</v>
      </c>
      <c r="I74" s="629">
        <v>0</v>
      </c>
      <c r="J74" s="629">
        <v>73129</v>
      </c>
    </row>
    <row r="75" spans="1:10" ht="24" x14ac:dyDescent="0.2">
      <c r="A75" s="894">
        <v>62</v>
      </c>
      <c r="B75" s="48" t="s">
        <v>170</v>
      </c>
      <c r="C75" s="56" t="s">
        <v>770</v>
      </c>
      <c r="D75" s="629">
        <f t="shared" si="2"/>
        <v>2703</v>
      </c>
      <c r="E75" s="629">
        <v>0</v>
      </c>
      <c r="F75" s="629">
        <f t="shared" si="3"/>
        <v>2703</v>
      </c>
      <c r="G75" s="629">
        <v>0</v>
      </c>
      <c r="H75" s="629">
        <f t="shared" si="4"/>
        <v>2703</v>
      </c>
      <c r="I75" s="629">
        <v>2703</v>
      </c>
      <c r="J75" s="629">
        <v>0</v>
      </c>
    </row>
    <row r="76" spans="1:10" x14ac:dyDescent="0.2">
      <c r="A76" s="895"/>
      <c r="B76" s="51" t="s">
        <v>168</v>
      </c>
      <c r="C76" s="49" t="s">
        <v>169</v>
      </c>
      <c r="D76" s="629">
        <f t="shared" si="2"/>
        <v>0</v>
      </c>
      <c r="E76" s="629">
        <v>0</v>
      </c>
      <c r="F76" s="629">
        <f t="shared" si="3"/>
        <v>0</v>
      </c>
      <c r="G76" s="629">
        <v>0</v>
      </c>
      <c r="H76" s="629">
        <f t="shared" si="4"/>
        <v>0</v>
      </c>
      <c r="I76" s="629">
        <v>0</v>
      </c>
      <c r="J76" s="629">
        <v>0</v>
      </c>
    </row>
    <row r="77" spans="1:10" x14ac:dyDescent="0.2">
      <c r="A77" s="896"/>
      <c r="B77" s="51" t="s">
        <v>174</v>
      </c>
      <c r="C77" s="49" t="s">
        <v>175</v>
      </c>
      <c r="D77" s="629">
        <f t="shared" si="2"/>
        <v>901</v>
      </c>
      <c r="E77" s="629">
        <v>0</v>
      </c>
      <c r="F77" s="629">
        <f t="shared" si="3"/>
        <v>901</v>
      </c>
      <c r="G77" s="629">
        <v>0</v>
      </c>
      <c r="H77" s="629">
        <f t="shared" si="4"/>
        <v>901</v>
      </c>
      <c r="I77" s="629">
        <v>901</v>
      </c>
      <c r="J77" s="629">
        <v>0</v>
      </c>
    </row>
    <row r="78" spans="1:10" ht="24" x14ac:dyDescent="0.2">
      <c r="A78" s="894">
        <v>63</v>
      </c>
      <c r="B78" s="617" t="s">
        <v>176</v>
      </c>
      <c r="C78" s="56" t="s">
        <v>773</v>
      </c>
      <c r="D78" s="629">
        <f t="shared" ref="D78:D144" si="5">E78+F78</f>
        <v>68</v>
      </c>
      <c r="E78" s="629">
        <v>0</v>
      </c>
      <c r="F78" s="629">
        <f t="shared" ref="F78:F142" si="6">G78+H78</f>
        <v>68</v>
      </c>
      <c r="G78" s="629">
        <v>0</v>
      </c>
      <c r="H78" s="629">
        <f t="shared" ref="H78:H142" si="7">I78+J78</f>
        <v>68</v>
      </c>
      <c r="I78" s="629">
        <v>68</v>
      </c>
      <c r="J78" s="629">
        <v>0</v>
      </c>
    </row>
    <row r="79" spans="1:10" x14ac:dyDescent="0.2">
      <c r="A79" s="895"/>
      <c r="B79" s="51" t="s">
        <v>172</v>
      </c>
      <c r="C79" s="49" t="s">
        <v>173</v>
      </c>
      <c r="D79" s="629">
        <f t="shared" si="5"/>
        <v>23</v>
      </c>
      <c r="E79" s="629">
        <v>0</v>
      </c>
      <c r="F79" s="629">
        <f t="shared" si="6"/>
        <v>23</v>
      </c>
      <c r="G79" s="629">
        <v>0</v>
      </c>
      <c r="H79" s="629">
        <f t="shared" si="7"/>
        <v>23</v>
      </c>
      <c r="I79" s="629">
        <v>23</v>
      </c>
      <c r="J79" s="629">
        <v>0</v>
      </c>
    </row>
    <row r="80" spans="1:10" x14ac:dyDescent="0.2">
      <c r="A80" s="895"/>
      <c r="B80" s="48" t="s">
        <v>178</v>
      </c>
      <c r="C80" s="49" t="s">
        <v>179</v>
      </c>
      <c r="D80" s="629">
        <f t="shared" si="5"/>
        <v>0</v>
      </c>
      <c r="E80" s="629">
        <v>0</v>
      </c>
      <c r="F80" s="629">
        <f t="shared" si="6"/>
        <v>0</v>
      </c>
      <c r="G80" s="629">
        <v>0</v>
      </c>
      <c r="H80" s="629">
        <f t="shared" si="7"/>
        <v>0</v>
      </c>
      <c r="I80" s="629">
        <v>0</v>
      </c>
      <c r="J80" s="629">
        <v>0</v>
      </c>
    </row>
    <row r="81" spans="1:10" x14ac:dyDescent="0.2">
      <c r="A81" s="896"/>
      <c r="B81" s="48" t="s">
        <v>180</v>
      </c>
      <c r="C81" s="49" t="s">
        <v>181</v>
      </c>
      <c r="D81" s="629">
        <f t="shared" si="5"/>
        <v>0</v>
      </c>
      <c r="E81" s="629">
        <v>0</v>
      </c>
      <c r="F81" s="629">
        <f t="shared" si="6"/>
        <v>0</v>
      </c>
      <c r="G81" s="629">
        <v>0</v>
      </c>
      <c r="H81" s="629">
        <f t="shared" si="7"/>
        <v>0</v>
      </c>
      <c r="I81" s="629">
        <v>0</v>
      </c>
      <c r="J81" s="629">
        <v>0</v>
      </c>
    </row>
    <row r="82" spans="1:10" x14ac:dyDescent="0.2">
      <c r="A82" s="630">
        <v>64</v>
      </c>
      <c r="B82" s="21" t="s">
        <v>182</v>
      </c>
      <c r="C82" s="22" t="s">
        <v>183</v>
      </c>
      <c r="D82" s="629">
        <f t="shared" si="5"/>
        <v>25758</v>
      </c>
      <c r="E82" s="629">
        <v>0</v>
      </c>
      <c r="F82" s="629">
        <f t="shared" si="6"/>
        <v>25758</v>
      </c>
      <c r="G82" s="629">
        <v>1000</v>
      </c>
      <c r="H82" s="629">
        <f t="shared" si="7"/>
        <v>24758</v>
      </c>
      <c r="I82" s="629">
        <v>6</v>
      </c>
      <c r="J82" s="629">
        <v>24752</v>
      </c>
    </row>
    <row r="83" spans="1:10" x14ac:dyDescent="0.2">
      <c r="A83" s="630">
        <v>65</v>
      </c>
      <c r="B83" s="27" t="s">
        <v>184</v>
      </c>
      <c r="C83" s="22" t="s">
        <v>476</v>
      </c>
      <c r="D83" s="629">
        <f t="shared" si="5"/>
        <v>86638</v>
      </c>
      <c r="E83" s="629">
        <v>0</v>
      </c>
      <c r="F83" s="629">
        <f t="shared" si="6"/>
        <v>86638</v>
      </c>
      <c r="G83" s="629">
        <v>2188</v>
      </c>
      <c r="H83" s="629">
        <f t="shared" si="7"/>
        <v>84450</v>
      </c>
      <c r="I83" s="629">
        <v>0</v>
      </c>
      <c r="J83" s="629">
        <v>84450</v>
      </c>
    </row>
    <row r="84" spans="1:10" x14ac:dyDescent="0.2">
      <c r="A84" s="630">
        <v>66</v>
      </c>
      <c r="B84" s="21" t="s">
        <v>186</v>
      </c>
      <c r="C84" s="22" t="s">
        <v>187</v>
      </c>
      <c r="D84" s="629">
        <f t="shared" si="5"/>
        <v>70649</v>
      </c>
      <c r="E84" s="629">
        <v>0</v>
      </c>
      <c r="F84" s="629">
        <f t="shared" si="6"/>
        <v>70649</v>
      </c>
      <c r="G84" s="629">
        <v>2500</v>
      </c>
      <c r="H84" s="629">
        <f t="shared" si="7"/>
        <v>68149</v>
      </c>
      <c r="I84" s="629">
        <v>633</v>
      </c>
      <c r="J84" s="629">
        <v>67516</v>
      </c>
    </row>
    <row r="85" spans="1:10" x14ac:dyDescent="0.2">
      <c r="A85" s="894">
        <v>67</v>
      </c>
      <c r="B85" s="617" t="s">
        <v>188</v>
      </c>
      <c r="C85" s="56" t="s">
        <v>777</v>
      </c>
      <c r="D85" s="629">
        <f t="shared" si="5"/>
        <v>33879</v>
      </c>
      <c r="E85" s="629">
        <v>0</v>
      </c>
      <c r="F85" s="629">
        <f t="shared" si="6"/>
        <v>33879</v>
      </c>
      <c r="G85" s="629">
        <v>2960</v>
      </c>
      <c r="H85" s="629">
        <f t="shared" si="7"/>
        <v>30919</v>
      </c>
      <c r="I85" s="629">
        <v>1312</v>
      </c>
      <c r="J85" s="629">
        <v>29607</v>
      </c>
    </row>
    <row r="86" spans="1:10" x14ac:dyDescent="0.2">
      <c r="A86" s="896"/>
      <c r="B86" s="166" t="s">
        <v>156</v>
      </c>
      <c r="C86" s="49" t="s">
        <v>157</v>
      </c>
      <c r="D86" s="629">
        <f t="shared" si="5"/>
        <v>0</v>
      </c>
      <c r="E86" s="629">
        <v>0</v>
      </c>
      <c r="F86" s="629">
        <f t="shared" si="6"/>
        <v>0</v>
      </c>
      <c r="G86" s="629">
        <v>0</v>
      </c>
      <c r="H86" s="629">
        <f t="shared" si="7"/>
        <v>0</v>
      </c>
      <c r="I86" s="629">
        <v>0</v>
      </c>
      <c r="J86" s="629">
        <v>0</v>
      </c>
    </row>
    <row r="87" spans="1:10" x14ac:dyDescent="0.2">
      <c r="A87" s="630">
        <v>68</v>
      </c>
      <c r="B87" s="27" t="s">
        <v>190</v>
      </c>
      <c r="C87" s="22" t="s">
        <v>191</v>
      </c>
      <c r="D87" s="629">
        <f t="shared" si="5"/>
        <v>43942</v>
      </c>
      <c r="E87" s="629">
        <v>0</v>
      </c>
      <c r="F87" s="629">
        <f t="shared" si="6"/>
        <v>43942</v>
      </c>
      <c r="G87" s="629">
        <v>2500</v>
      </c>
      <c r="H87" s="629">
        <f t="shared" si="7"/>
        <v>41442</v>
      </c>
      <c r="I87" s="629">
        <v>0</v>
      </c>
      <c r="J87" s="629">
        <v>41442</v>
      </c>
    </row>
    <row r="88" spans="1:10" x14ac:dyDescent="0.2">
      <c r="A88" s="894">
        <v>69</v>
      </c>
      <c r="B88" s="617" t="s">
        <v>192</v>
      </c>
      <c r="C88" s="56" t="s">
        <v>772</v>
      </c>
      <c r="D88" s="629">
        <f t="shared" si="5"/>
        <v>0</v>
      </c>
      <c r="E88" s="629">
        <v>0</v>
      </c>
      <c r="F88" s="629">
        <f t="shared" si="6"/>
        <v>0</v>
      </c>
      <c r="G88" s="629">
        <v>0</v>
      </c>
      <c r="H88" s="629">
        <f t="shared" si="7"/>
        <v>0</v>
      </c>
      <c r="I88" s="629">
        <v>0</v>
      </c>
      <c r="J88" s="629">
        <v>0</v>
      </c>
    </row>
    <row r="89" spans="1:10" x14ac:dyDescent="0.2">
      <c r="A89" s="896"/>
      <c r="B89" s="48" t="s">
        <v>152</v>
      </c>
      <c r="C89" s="49" t="s">
        <v>153</v>
      </c>
      <c r="D89" s="629">
        <f t="shared" si="5"/>
        <v>0</v>
      </c>
      <c r="E89" s="629">
        <v>0</v>
      </c>
      <c r="F89" s="629">
        <f t="shared" si="6"/>
        <v>0</v>
      </c>
      <c r="G89" s="629">
        <v>0</v>
      </c>
      <c r="H89" s="629">
        <f t="shared" si="7"/>
        <v>0</v>
      </c>
      <c r="I89" s="629">
        <v>0</v>
      </c>
      <c r="J89" s="629">
        <v>0</v>
      </c>
    </row>
    <row r="90" spans="1:10" x14ac:dyDescent="0.2">
      <c r="A90" s="630">
        <v>70</v>
      </c>
      <c r="B90" s="27" t="s">
        <v>194</v>
      </c>
      <c r="C90" s="22" t="s">
        <v>477</v>
      </c>
      <c r="D90" s="629">
        <f t="shared" si="5"/>
        <v>80028</v>
      </c>
      <c r="E90" s="629">
        <v>0</v>
      </c>
      <c r="F90" s="629">
        <f t="shared" si="6"/>
        <v>80028</v>
      </c>
      <c r="G90" s="629">
        <v>4500</v>
      </c>
      <c r="H90" s="629">
        <f t="shared" si="7"/>
        <v>75528</v>
      </c>
      <c r="I90" s="629">
        <v>2950</v>
      </c>
      <c r="J90" s="629">
        <v>72578</v>
      </c>
    </row>
    <row r="91" spans="1:10" x14ac:dyDescent="0.2">
      <c r="A91" s="630">
        <v>71</v>
      </c>
      <c r="B91" s="48" t="s">
        <v>196</v>
      </c>
      <c r="C91" s="49" t="s">
        <v>197</v>
      </c>
      <c r="D91" s="629">
        <f t="shared" si="5"/>
        <v>1600</v>
      </c>
      <c r="E91" s="629">
        <v>1600</v>
      </c>
      <c r="F91" s="629">
        <f t="shared" si="6"/>
        <v>0</v>
      </c>
      <c r="G91" s="629">
        <v>0</v>
      </c>
      <c r="H91" s="629">
        <f t="shared" si="7"/>
        <v>0</v>
      </c>
      <c r="I91" s="629">
        <v>0</v>
      </c>
      <c r="J91" s="629">
        <v>0</v>
      </c>
    </row>
    <row r="92" spans="1:10" x14ac:dyDescent="0.2">
      <c r="A92" s="630">
        <v>72</v>
      </c>
      <c r="B92" s="29" t="s">
        <v>30</v>
      </c>
      <c r="C92" s="49" t="s">
        <v>198</v>
      </c>
      <c r="D92" s="629">
        <f t="shared" si="5"/>
        <v>0</v>
      </c>
      <c r="E92" s="629">
        <v>0</v>
      </c>
      <c r="F92" s="629">
        <v>0</v>
      </c>
      <c r="G92" s="629">
        <v>0</v>
      </c>
      <c r="H92" s="629">
        <v>0</v>
      </c>
      <c r="I92" s="629">
        <v>0</v>
      </c>
      <c r="J92" s="629"/>
    </row>
    <row r="93" spans="1:10" x14ac:dyDescent="0.2">
      <c r="A93" s="989">
        <v>73</v>
      </c>
      <c r="B93" s="990" t="s">
        <v>199</v>
      </c>
      <c r="C93" s="633" t="s">
        <v>200</v>
      </c>
      <c r="D93" s="629">
        <f t="shared" si="5"/>
        <v>989</v>
      </c>
      <c r="E93" s="629">
        <v>0</v>
      </c>
      <c r="F93" s="629">
        <f t="shared" si="6"/>
        <v>989</v>
      </c>
      <c r="G93" s="629">
        <v>130</v>
      </c>
      <c r="H93" s="629">
        <f t="shared" si="7"/>
        <v>859</v>
      </c>
      <c r="I93" s="629">
        <v>0</v>
      </c>
      <c r="J93" s="629">
        <v>859</v>
      </c>
    </row>
    <row r="94" spans="1:10" ht="24" x14ac:dyDescent="0.2">
      <c r="A94" s="989"/>
      <c r="B94" s="990"/>
      <c r="C94" s="49" t="s">
        <v>201</v>
      </c>
      <c r="D94" s="629">
        <f t="shared" si="5"/>
        <v>989</v>
      </c>
      <c r="E94" s="629">
        <v>0</v>
      </c>
      <c r="F94" s="629">
        <f t="shared" si="6"/>
        <v>989</v>
      </c>
      <c r="G94" s="629">
        <v>130</v>
      </c>
      <c r="H94" s="629">
        <f t="shared" si="7"/>
        <v>859</v>
      </c>
      <c r="I94" s="629">
        <v>0</v>
      </c>
      <c r="J94" s="629">
        <v>859</v>
      </c>
    </row>
    <row r="95" spans="1:10" x14ac:dyDescent="0.2">
      <c r="A95" s="989"/>
      <c r="B95" s="990"/>
      <c r="C95" s="22" t="s">
        <v>202</v>
      </c>
      <c r="D95" s="629">
        <f t="shared" si="5"/>
        <v>0</v>
      </c>
      <c r="E95" s="629">
        <v>0</v>
      </c>
      <c r="F95" s="629">
        <f t="shared" si="6"/>
        <v>0</v>
      </c>
      <c r="G95" s="629">
        <v>0</v>
      </c>
      <c r="H95" s="629">
        <f t="shared" si="7"/>
        <v>0</v>
      </c>
      <c r="I95" s="629">
        <v>0</v>
      </c>
      <c r="J95" s="629">
        <v>0</v>
      </c>
    </row>
    <row r="96" spans="1:10" ht="24" x14ac:dyDescent="0.2">
      <c r="A96" s="989"/>
      <c r="B96" s="990"/>
      <c r="C96" s="57" t="s">
        <v>203</v>
      </c>
      <c r="D96" s="629">
        <f t="shared" si="5"/>
        <v>0</v>
      </c>
      <c r="E96" s="629">
        <v>0</v>
      </c>
      <c r="F96" s="629">
        <v>0</v>
      </c>
      <c r="G96" s="629">
        <v>0</v>
      </c>
      <c r="H96" s="629">
        <v>0</v>
      </c>
      <c r="I96" s="629">
        <v>0</v>
      </c>
      <c r="J96" s="629">
        <v>0</v>
      </c>
    </row>
    <row r="97" spans="1:10" x14ac:dyDescent="0.2">
      <c r="A97" s="630">
        <v>74</v>
      </c>
      <c r="B97" s="29" t="s">
        <v>204</v>
      </c>
      <c r="C97" s="28" t="s">
        <v>205</v>
      </c>
      <c r="D97" s="629">
        <f t="shared" si="5"/>
        <v>0</v>
      </c>
      <c r="E97" s="629">
        <v>0</v>
      </c>
      <c r="F97" s="629">
        <f t="shared" si="6"/>
        <v>0</v>
      </c>
      <c r="G97" s="629">
        <v>0</v>
      </c>
      <c r="H97" s="629">
        <f t="shared" si="7"/>
        <v>0</v>
      </c>
      <c r="I97" s="629">
        <v>0</v>
      </c>
      <c r="J97" s="629">
        <v>0</v>
      </c>
    </row>
    <row r="98" spans="1:10" x14ac:dyDescent="0.2">
      <c r="A98" s="630">
        <v>75</v>
      </c>
      <c r="B98" s="29" t="s">
        <v>206</v>
      </c>
      <c r="C98" s="49" t="s">
        <v>207</v>
      </c>
      <c r="D98" s="629">
        <f t="shared" si="5"/>
        <v>7310</v>
      </c>
      <c r="E98" s="629">
        <v>0</v>
      </c>
      <c r="F98" s="629">
        <f t="shared" si="6"/>
        <v>7310</v>
      </c>
      <c r="G98" s="629">
        <v>0</v>
      </c>
      <c r="H98" s="629">
        <f t="shared" si="7"/>
        <v>7310</v>
      </c>
      <c r="I98" s="629">
        <v>0</v>
      </c>
      <c r="J98" s="629">
        <v>7310</v>
      </c>
    </row>
    <row r="99" spans="1:10" x14ac:dyDescent="0.2">
      <c r="A99" s="630">
        <v>76</v>
      </c>
      <c r="B99" s="21" t="s">
        <v>208</v>
      </c>
      <c r="C99" s="22" t="s">
        <v>209</v>
      </c>
      <c r="D99" s="629">
        <f t="shared" si="5"/>
        <v>4781</v>
      </c>
      <c r="E99" s="629">
        <v>0</v>
      </c>
      <c r="F99" s="629">
        <f t="shared" si="6"/>
        <v>4781</v>
      </c>
      <c r="G99" s="629">
        <v>1320</v>
      </c>
      <c r="H99" s="629">
        <f t="shared" si="7"/>
        <v>3461</v>
      </c>
      <c r="I99" s="629">
        <v>0</v>
      </c>
      <c r="J99" s="629">
        <v>3461</v>
      </c>
    </row>
    <row r="100" spans="1:10" x14ac:dyDescent="0.2">
      <c r="A100" s="630">
        <v>77</v>
      </c>
      <c r="B100" s="29" t="s">
        <v>210</v>
      </c>
      <c r="C100" s="28" t="s">
        <v>211</v>
      </c>
      <c r="D100" s="629">
        <f t="shared" si="5"/>
        <v>7522</v>
      </c>
      <c r="E100" s="629">
        <v>0</v>
      </c>
      <c r="F100" s="629">
        <f t="shared" si="6"/>
        <v>7522</v>
      </c>
      <c r="G100" s="629">
        <v>100</v>
      </c>
      <c r="H100" s="629">
        <f t="shared" si="7"/>
        <v>7422</v>
      </c>
      <c r="I100" s="629">
        <v>207</v>
      </c>
      <c r="J100" s="629">
        <v>7215</v>
      </c>
    </row>
    <row r="101" spans="1:10" x14ac:dyDescent="0.2">
      <c r="A101" s="630">
        <v>78</v>
      </c>
      <c r="B101" s="21" t="s">
        <v>212</v>
      </c>
      <c r="C101" s="22" t="s">
        <v>213</v>
      </c>
      <c r="D101" s="629">
        <f t="shared" si="5"/>
        <v>6992</v>
      </c>
      <c r="E101" s="629">
        <v>0</v>
      </c>
      <c r="F101" s="629">
        <f t="shared" si="6"/>
        <v>6992</v>
      </c>
      <c r="G101" s="629">
        <v>280</v>
      </c>
      <c r="H101" s="629">
        <f t="shared" si="7"/>
        <v>6712</v>
      </c>
      <c r="I101" s="629">
        <v>0</v>
      </c>
      <c r="J101" s="629">
        <v>6712</v>
      </c>
    </row>
    <row r="102" spans="1:10" x14ac:dyDescent="0.2">
      <c r="A102" s="630">
        <v>79</v>
      </c>
      <c r="B102" s="21" t="s">
        <v>214</v>
      </c>
      <c r="C102" s="22" t="s">
        <v>215</v>
      </c>
      <c r="D102" s="629">
        <f t="shared" si="5"/>
        <v>22053</v>
      </c>
      <c r="E102" s="629">
        <v>0</v>
      </c>
      <c r="F102" s="629">
        <f t="shared" si="6"/>
        <v>22053</v>
      </c>
      <c r="G102" s="629">
        <v>270</v>
      </c>
      <c r="H102" s="629">
        <f t="shared" si="7"/>
        <v>21783</v>
      </c>
      <c r="I102" s="629">
        <v>11</v>
      </c>
      <c r="J102" s="629">
        <v>21772</v>
      </c>
    </row>
    <row r="103" spans="1:10" x14ac:dyDescent="0.2">
      <c r="A103" s="630">
        <v>80</v>
      </c>
      <c r="B103" s="29" t="s">
        <v>216</v>
      </c>
      <c r="C103" s="49" t="s">
        <v>217</v>
      </c>
      <c r="D103" s="629">
        <f t="shared" si="5"/>
        <v>10541</v>
      </c>
      <c r="E103" s="629">
        <v>0</v>
      </c>
      <c r="F103" s="629">
        <f t="shared" si="6"/>
        <v>10541</v>
      </c>
      <c r="G103" s="629">
        <v>315</v>
      </c>
      <c r="H103" s="629">
        <f t="shared" si="7"/>
        <v>10226</v>
      </c>
      <c r="I103" s="629">
        <v>0</v>
      </c>
      <c r="J103" s="629">
        <v>10226</v>
      </c>
    </row>
    <row r="104" spans="1:10" x14ac:dyDescent="0.2">
      <c r="A104" s="630">
        <v>81</v>
      </c>
      <c r="B104" s="27" t="s">
        <v>218</v>
      </c>
      <c r="C104" s="28" t="s">
        <v>219</v>
      </c>
      <c r="D104" s="629">
        <f t="shared" si="5"/>
        <v>23082</v>
      </c>
      <c r="E104" s="629">
        <v>0</v>
      </c>
      <c r="F104" s="629">
        <f t="shared" si="6"/>
        <v>23082</v>
      </c>
      <c r="G104" s="629">
        <v>301</v>
      </c>
      <c r="H104" s="629">
        <f t="shared" si="7"/>
        <v>22781</v>
      </c>
      <c r="I104" s="629">
        <v>0</v>
      </c>
      <c r="J104" s="629">
        <v>22781</v>
      </c>
    </row>
    <row r="105" spans="1:10" x14ac:dyDescent="0.2">
      <c r="A105" s="630">
        <v>82</v>
      </c>
      <c r="B105" s="27" t="s">
        <v>220</v>
      </c>
      <c r="C105" s="28" t="s">
        <v>221</v>
      </c>
      <c r="D105" s="629">
        <f t="shared" si="5"/>
        <v>23011</v>
      </c>
      <c r="E105" s="629">
        <v>0</v>
      </c>
      <c r="F105" s="629">
        <f t="shared" si="6"/>
        <v>23011</v>
      </c>
      <c r="G105" s="629">
        <v>800</v>
      </c>
      <c r="H105" s="629">
        <f t="shared" si="7"/>
        <v>22211</v>
      </c>
      <c r="I105" s="629">
        <v>118</v>
      </c>
      <c r="J105" s="629">
        <v>22093</v>
      </c>
    </row>
    <row r="106" spans="1:10" x14ac:dyDescent="0.2">
      <c r="A106" s="630">
        <v>83</v>
      </c>
      <c r="B106" s="21" t="s">
        <v>222</v>
      </c>
      <c r="C106" s="22" t="s">
        <v>223</v>
      </c>
      <c r="D106" s="629">
        <f t="shared" si="5"/>
        <v>7914</v>
      </c>
      <c r="E106" s="629">
        <v>0</v>
      </c>
      <c r="F106" s="629">
        <f t="shared" si="6"/>
        <v>7914</v>
      </c>
      <c r="G106" s="629">
        <v>80</v>
      </c>
      <c r="H106" s="629">
        <f t="shared" si="7"/>
        <v>7834</v>
      </c>
      <c r="I106" s="629">
        <v>0</v>
      </c>
      <c r="J106" s="629">
        <v>7834</v>
      </c>
    </row>
    <row r="107" spans="1:10" x14ac:dyDescent="0.2">
      <c r="A107" s="630">
        <v>84</v>
      </c>
      <c r="B107" s="48" t="s">
        <v>224</v>
      </c>
      <c r="C107" s="49" t="s">
        <v>225</v>
      </c>
      <c r="D107" s="629">
        <f t="shared" si="5"/>
        <v>20460</v>
      </c>
      <c r="E107" s="629">
        <v>0</v>
      </c>
      <c r="F107" s="629">
        <f t="shared" si="6"/>
        <v>20460</v>
      </c>
      <c r="G107" s="629">
        <v>214</v>
      </c>
      <c r="H107" s="629">
        <f t="shared" si="7"/>
        <v>20246</v>
      </c>
      <c r="I107" s="629">
        <v>0</v>
      </c>
      <c r="J107" s="629">
        <v>20246</v>
      </c>
    </row>
    <row r="108" spans="1:10" x14ac:dyDescent="0.2">
      <c r="A108" s="630">
        <v>85</v>
      </c>
      <c r="B108" s="27" t="s">
        <v>226</v>
      </c>
      <c r="C108" s="28" t="s">
        <v>227</v>
      </c>
      <c r="D108" s="629">
        <f t="shared" si="5"/>
        <v>10903</v>
      </c>
      <c r="E108" s="629">
        <v>0</v>
      </c>
      <c r="F108" s="629">
        <f t="shared" si="6"/>
        <v>10903</v>
      </c>
      <c r="G108" s="629">
        <v>802</v>
      </c>
      <c r="H108" s="629">
        <f t="shared" si="7"/>
        <v>10101</v>
      </c>
      <c r="I108" s="629">
        <v>0</v>
      </c>
      <c r="J108" s="629">
        <v>10101</v>
      </c>
    </row>
    <row r="109" spans="1:10" x14ac:dyDescent="0.2">
      <c r="A109" s="630">
        <v>86</v>
      </c>
      <c r="B109" s="29" t="s">
        <v>32</v>
      </c>
      <c r="C109" s="28" t="s">
        <v>33</v>
      </c>
      <c r="D109" s="629">
        <f t="shared" si="5"/>
        <v>7595</v>
      </c>
      <c r="E109" s="629">
        <v>0</v>
      </c>
      <c r="F109" s="629">
        <f t="shared" si="6"/>
        <v>7595</v>
      </c>
      <c r="G109" s="629">
        <v>500</v>
      </c>
      <c r="H109" s="629">
        <f t="shared" si="7"/>
        <v>7095</v>
      </c>
      <c r="I109" s="629">
        <v>0</v>
      </c>
      <c r="J109" s="629">
        <v>7095</v>
      </c>
    </row>
    <row r="110" spans="1:10" x14ac:dyDescent="0.2">
      <c r="A110" s="630">
        <v>87</v>
      </c>
      <c r="B110" s="21" t="s">
        <v>228</v>
      </c>
      <c r="C110" s="22" t="s">
        <v>229</v>
      </c>
      <c r="D110" s="629">
        <f t="shared" si="5"/>
        <v>6725</v>
      </c>
      <c r="E110" s="629">
        <v>0</v>
      </c>
      <c r="F110" s="629">
        <f t="shared" si="6"/>
        <v>6725</v>
      </c>
      <c r="G110" s="629">
        <v>290</v>
      </c>
      <c r="H110" s="629">
        <f t="shared" si="7"/>
        <v>6435</v>
      </c>
      <c r="I110" s="629">
        <v>60</v>
      </c>
      <c r="J110" s="629">
        <v>6375</v>
      </c>
    </row>
    <row r="111" spans="1:10" x14ac:dyDescent="0.2">
      <c r="A111" s="630">
        <v>88</v>
      </c>
      <c r="B111" s="27" t="s">
        <v>230</v>
      </c>
      <c r="C111" s="28" t="s">
        <v>231</v>
      </c>
      <c r="D111" s="629">
        <f t="shared" si="5"/>
        <v>23450</v>
      </c>
      <c r="E111" s="629">
        <v>0</v>
      </c>
      <c r="F111" s="629">
        <f t="shared" si="6"/>
        <v>23450</v>
      </c>
      <c r="G111" s="629">
        <v>600</v>
      </c>
      <c r="H111" s="629">
        <f t="shared" si="7"/>
        <v>22850</v>
      </c>
      <c r="I111" s="629">
        <v>70</v>
      </c>
      <c r="J111" s="629">
        <v>22780</v>
      </c>
    </row>
    <row r="112" spans="1:10" x14ac:dyDescent="0.2">
      <c r="A112" s="630">
        <v>89</v>
      </c>
      <c r="B112" s="27" t="s">
        <v>232</v>
      </c>
      <c r="C112" s="22" t="s">
        <v>233</v>
      </c>
      <c r="D112" s="629">
        <f t="shared" si="5"/>
        <v>932</v>
      </c>
      <c r="E112" s="629">
        <v>932</v>
      </c>
      <c r="F112" s="629">
        <f t="shared" si="6"/>
        <v>0</v>
      </c>
      <c r="G112" s="629">
        <v>0</v>
      </c>
      <c r="H112" s="629">
        <f t="shared" si="7"/>
        <v>0</v>
      </c>
      <c r="I112" s="629">
        <v>0</v>
      </c>
      <c r="J112" s="629">
        <v>0</v>
      </c>
    </row>
    <row r="113" spans="1:10" x14ac:dyDescent="0.2">
      <c r="A113" s="630">
        <v>90</v>
      </c>
      <c r="B113" s="27" t="s">
        <v>234</v>
      </c>
      <c r="C113" s="28" t="s">
        <v>235</v>
      </c>
      <c r="D113" s="629">
        <f t="shared" si="5"/>
        <v>0</v>
      </c>
      <c r="E113" s="629">
        <v>0</v>
      </c>
      <c r="F113" s="629">
        <v>0</v>
      </c>
      <c r="G113" s="629">
        <v>0</v>
      </c>
      <c r="H113" s="629">
        <v>0</v>
      </c>
      <c r="I113" s="629">
        <v>0</v>
      </c>
      <c r="J113" s="629">
        <v>0</v>
      </c>
    </row>
    <row r="114" spans="1:10" x14ac:dyDescent="0.2">
      <c r="A114" s="630">
        <v>91</v>
      </c>
      <c r="B114" s="21" t="s">
        <v>236</v>
      </c>
      <c r="C114" s="22" t="s">
        <v>237</v>
      </c>
      <c r="D114" s="629">
        <f t="shared" si="5"/>
        <v>0</v>
      </c>
      <c r="E114" s="629">
        <v>0</v>
      </c>
      <c r="F114" s="629">
        <v>0</v>
      </c>
      <c r="G114" s="629">
        <v>0</v>
      </c>
      <c r="H114" s="629">
        <v>0</v>
      </c>
      <c r="I114" s="629">
        <v>0</v>
      </c>
      <c r="J114" s="629">
        <v>0</v>
      </c>
    </row>
    <row r="115" spans="1:10" x14ac:dyDescent="0.2">
      <c r="A115" s="630">
        <v>92</v>
      </c>
      <c r="B115" s="21" t="s">
        <v>238</v>
      </c>
      <c r="C115" s="22" t="s">
        <v>239</v>
      </c>
      <c r="D115" s="629">
        <f t="shared" si="5"/>
        <v>0</v>
      </c>
      <c r="E115" s="629">
        <v>0</v>
      </c>
      <c r="F115" s="629">
        <v>0</v>
      </c>
      <c r="G115" s="629">
        <v>0</v>
      </c>
      <c r="H115" s="629">
        <v>0</v>
      </c>
      <c r="I115" s="629">
        <v>0</v>
      </c>
      <c r="J115" s="629">
        <v>0</v>
      </c>
    </row>
    <row r="116" spans="1:10" x14ac:dyDescent="0.2">
      <c r="A116" s="630">
        <v>93</v>
      </c>
      <c r="B116" s="21" t="s">
        <v>240</v>
      </c>
      <c r="C116" s="22" t="s">
        <v>241</v>
      </c>
      <c r="D116" s="629">
        <f t="shared" si="5"/>
        <v>0</v>
      </c>
      <c r="E116" s="629">
        <v>0</v>
      </c>
      <c r="F116" s="629">
        <v>0</v>
      </c>
      <c r="G116" s="629">
        <v>0</v>
      </c>
      <c r="H116" s="629">
        <v>0</v>
      </c>
      <c r="I116" s="629">
        <v>0</v>
      </c>
      <c r="J116" s="629">
        <v>0</v>
      </c>
    </row>
    <row r="117" spans="1:10" x14ac:dyDescent="0.2">
      <c r="A117" s="630">
        <v>94</v>
      </c>
      <c r="B117" s="21" t="s">
        <v>242</v>
      </c>
      <c r="C117" s="22" t="s">
        <v>243</v>
      </c>
      <c r="D117" s="629">
        <f t="shared" si="5"/>
        <v>0</v>
      </c>
      <c r="E117" s="629">
        <v>0</v>
      </c>
      <c r="F117" s="629">
        <v>0</v>
      </c>
      <c r="G117" s="629">
        <v>0</v>
      </c>
      <c r="H117" s="629">
        <v>0</v>
      </c>
      <c r="I117" s="629">
        <v>0</v>
      </c>
      <c r="J117" s="629">
        <v>0</v>
      </c>
    </row>
    <row r="118" spans="1:10" x14ac:dyDescent="0.2">
      <c r="A118" s="630">
        <v>95</v>
      </c>
      <c r="B118" s="21" t="s">
        <v>244</v>
      </c>
      <c r="C118" s="22" t="s">
        <v>245</v>
      </c>
      <c r="D118" s="629">
        <f t="shared" si="5"/>
        <v>3940</v>
      </c>
      <c r="E118" s="629">
        <v>3940</v>
      </c>
      <c r="F118" s="629">
        <f t="shared" si="6"/>
        <v>0</v>
      </c>
      <c r="G118" s="629">
        <v>0</v>
      </c>
      <c r="H118" s="629">
        <f t="shared" si="7"/>
        <v>0</v>
      </c>
      <c r="I118" s="629">
        <v>0</v>
      </c>
      <c r="J118" s="629">
        <v>0</v>
      </c>
    </row>
    <row r="119" spans="1:10" x14ac:dyDescent="0.2">
      <c r="A119" s="630">
        <v>96</v>
      </c>
      <c r="B119" s="634" t="s">
        <v>246</v>
      </c>
      <c r="C119" s="635" t="s">
        <v>247</v>
      </c>
      <c r="D119" s="629">
        <f t="shared" si="5"/>
        <v>0</v>
      </c>
      <c r="E119" s="629">
        <v>0</v>
      </c>
      <c r="F119" s="629">
        <v>0</v>
      </c>
      <c r="G119" s="629">
        <v>0</v>
      </c>
      <c r="H119" s="629">
        <v>0</v>
      </c>
      <c r="I119" s="629">
        <v>0</v>
      </c>
      <c r="J119" s="629">
        <v>0</v>
      </c>
    </row>
    <row r="120" spans="1:10" x14ac:dyDescent="0.2">
      <c r="A120" s="630">
        <v>97</v>
      </c>
      <c r="B120" s="29" t="s">
        <v>248</v>
      </c>
      <c r="C120" s="28" t="s">
        <v>249</v>
      </c>
      <c r="D120" s="629">
        <f t="shared" si="5"/>
        <v>0</v>
      </c>
      <c r="E120" s="629">
        <v>0</v>
      </c>
      <c r="F120" s="629">
        <v>0</v>
      </c>
      <c r="G120" s="629">
        <v>0</v>
      </c>
      <c r="H120" s="629">
        <v>0</v>
      </c>
      <c r="I120" s="629">
        <v>0</v>
      </c>
      <c r="J120" s="629">
        <v>0</v>
      </c>
    </row>
    <row r="121" spans="1:10" x14ac:dyDescent="0.2">
      <c r="A121" s="630">
        <v>98</v>
      </c>
      <c r="B121" s="21" t="s">
        <v>250</v>
      </c>
      <c r="C121" s="22" t="s">
        <v>251</v>
      </c>
      <c r="D121" s="629">
        <f t="shared" si="5"/>
        <v>0</v>
      </c>
      <c r="E121" s="629">
        <v>0</v>
      </c>
      <c r="F121" s="629">
        <v>0</v>
      </c>
      <c r="G121" s="629">
        <v>0</v>
      </c>
      <c r="H121" s="629">
        <v>0</v>
      </c>
      <c r="I121" s="629">
        <v>0</v>
      </c>
      <c r="J121" s="629">
        <v>0</v>
      </c>
    </row>
    <row r="122" spans="1:10" x14ac:dyDescent="0.2">
      <c r="A122" s="630">
        <v>99</v>
      </c>
      <c r="B122" s="27" t="s">
        <v>252</v>
      </c>
      <c r="C122" s="636" t="s">
        <v>253</v>
      </c>
      <c r="D122" s="629">
        <f t="shared" si="5"/>
        <v>0</v>
      </c>
      <c r="E122" s="629">
        <v>0</v>
      </c>
      <c r="F122" s="629">
        <v>0</v>
      </c>
      <c r="G122" s="629">
        <v>0</v>
      </c>
      <c r="H122" s="629">
        <v>0</v>
      </c>
      <c r="I122" s="629">
        <v>0</v>
      </c>
      <c r="J122" s="629">
        <v>0</v>
      </c>
    </row>
    <row r="123" spans="1:10" x14ac:dyDescent="0.2">
      <c r="A123" s="630">
        <v>100</v>
      </c>
      <c r="B123" s="21" t="s">
        <v>254</v>
      </c>
      <c r="C123" s="49" t="s">
        <v>255</v>
      </c>
      <c r="D123" s="629">
        <f t="shared" si="5"/>
        <v>0</v>
      </c>
      <c r="E123" s="629">
        <v>0</v>
      </c>
      <c r="F123" s="629">
        <v>0</v>
      </c>
      <c r="G123" s="629">
        <v>0</v>
      </c>
      <c r="H123" s="629">
        <v>0</v>
      </c>
      <c r="I123" s="629">
        <v>0</v>
      </c>
      <c r="J123" s="629">
        <v>0</v>
      </c>
    </row>
    <row r="124" spans="1:10" x14ac:dyDescent="0.2">
      <c r="A124" s="630">
        <v>101</v>
      </c>
      <c r="B124" s="29" t="s">
        <v>256</v>
      </c>
      <c r="C124" s="22" t="s">
        <v>478</v>
      </c>
      <c r="D124" s="629">
        <f t="shared" si="5"/>
        <v>0</v>
      </c>
      <c r="E124" s="629">
        <v>0</v>
      </c>
      <c r="F124" s="629">
        <v>0</v>
      </c>
      <c r="G124" s="629">
        <v>0</v>
      </c>
      <c r="H124" s="629">
        <v>0</v>
      </c>
      <c r="I124" s="629">
        <v>0</v>
      </c>
      <c r="J124" s="629">
        <v>0</v>
      </c>
    </row>
    <row r="125" spans="1:10" x14ac:dyDescent="0.2">
      <c r="A125" s="630">
        <v>102</v>
      </c>
      <c r="B125" s="48" t="s">
        <v>258</v>
      </c>
      <c r="C125" s="49" t="s">
        <v>259</v>
      </c>
      <c r="D125" s="629">
        <f t="shared" si="5"/>
        <v>0</v>
      </c>
      <c r="E125" s="629">
        <v>0</v>
      </c>
      <c r="F125" s="629">
        <v>0</v>
      </c>
      <c r="G125" s="629">
        <v>0</v>
      </c>
      <c r="H125" s="629">
        <v>0</v>
      </c>
      <c r="I125" s="629">
        <v>0</v>
      </c>
      <c r="J125" s="629">
        <v>0</v>
      </c>
    </row>
    <row r="126" spans="1:10" x14ac:dyDescent="0.2">
      <c r="A126" s="630">
        <v>103</v>
      </c>
      <c r="B126" s="164" t="s">
        <v>542</v>
      </c>
      <c r="C126" s="163" t="s">
        <v>543</v>
      </c>
      <c r="D126" s="629">
        <f t="shared" si="5"/>
        <v>0</v>
      </c>
      <c r="E126" s="629">
        <v>0</v>
      </c>
      <c r="F126" s="629">
        <v>0</v>
      </c>
      <c r="G126" s="629">
        <v>0</v>
      </c>
      <c r="H126" s="629">
        <v>0</v>
      </c>
      <c r="I126" s="629">
        <v>0</v>
      </c>
      <c r="J126" s="629">
        <v>0</v>
      </c>
    </row>
    <row r="127" spans="1:10" x14ac:dyDescent="0.2">
      <c r="A127" s="630">
        <v>104</v>
      </c>
      <c r="B127" s="29" t="s">
        <v>260</v>
      </c>
      <c r="C127" s="49" t="s">
        <v>261</v>
      </c>
      <c r="D127" s="629">
        <f t="shared" si="5"/>
        <v>0</v>
      </c>
      <c r="E127" s="629">
        <v>0</v>
      </c>
      <c r="F127" s="629">
        <v>0</v>
      </c>
      <c r="G127" s="629">
        <v>0</v>
      </c>
      <c r="H127" s="629">
        <v>0</v>
      </c>
      <c r="I127" s="629">
        <v>0</v>
      </c>
      <c r="J127" s="629">
        <v>0</v>
      </c>
    </row>
    <row r="128" spans="1:10" x14ac:dyDescent="0.2">
      <c r="A128" s="630">
        <v>105</v>
      </c>
      <c r="B128" s="21" t="s">
        <v>262</v>
      </c>
      <c r="C128" s="22" t="s">
        <v>263</v>
      </c>
      <c r="D128" s="629">
        <f t="shared" si="5"/>
        <v>1080</v>
      </c>
      <c r="E128" s="629">
        <v>1080</v>
      </c>
      <c r="F128" s="629">
        <f t="shared" si="6"/>
        <v>0</v>
      </c>
      <c r="G128" s="629">
        <v>0</v>
      </c>
      <c r="H128" s="629">
        <f t="shared" si="7"/>
        <v>0</v>
      </c>
      <c r="I128" s="629">
        <v>0</v>
      </c>
      <c r="J128" s="629">
        <v>0</v>
      </c>
    </row>
    <row r="129" spans="1:10" x14ac:dyDescent="0.2">
      <c r="A129" s="630">
        <v>106</v>
      </c>
      <c r="B129" s="21" t="s">
        <v>264</v>
      </c>
      <c r="C129" s="53" t="s">
        <v>265</v>
      </c>
      <c r="D129" s="629">
        <f t="shared" si="5"/>
        <v>0</v>
      </c>
      <c r="E129" s="629">
        <v>0</v>
      </c>
      <c r="F129" s="629">
        <v>0</v>
      </c>
      <c r="G129" s="629">
        <v>0</v>
      </c>
      <c r="H129" s="629">
        <v>0</v>
      </c>
      <c r="I129" s="629">
        <v>0</v>
      </c>
      <c r="J129" s="629">
        <v>0</v>
      </c>
    </row>
    <row r="130" spans="1:10" x14ac:dyDescent="0.2">
      <c r="A130" s="630">
        <v>107</v>
      </c>
      <c r="B130" s="21" t="s">
        <v>266</v>
      </c>
      <c r="C130" s="22" t="s">
        <v>267</v>
      </c>
      <c r="D130" s="629">
        <f t="shared" si="5"/>
        <v>0</v>
      </c>
      <c r="E130" s="629">
        <v>0</v>
      </c>
      <c r="F130" s="629">
        <f t="shared" si="6"/>
        <v>0</v>
      </c>
      <c r="G130" s="629">
        <v>0</v>
      </c>
      <c r="H130" s="629">
        <f t="shared" si="7"/>
        <v>0</v>
      </c>
      <c r="I130" s="629">
        <v>0</v>
      </c>
      <c r="J130" s="629">
        <v>0</v>
      </c>
    </row>
    <row r="131" spans="1:10" x14ac:dyDescent="0.2">
      <c r="A131" s="630">
        <v>108</v>
      </c>
      <c r="B131" s="21" t="s">
        <v>268</v>
      </c>
      <c r="C131" s="22" t="s">
        <v>269</v>
      </c>
      <c r="D131" s="629">
        <f t="shared" si="5"/>
        <v>0</v>
      </c>
      <c r="E131" s="629">
        <v>0</v>
      </c>
      <c r="F131" s="629">
        <f t="shared" si="6"/>
        <v>0</v>
      </c>
      <c r="G131" s="629">
        <v>0</v>
      </c>
      <c r="H131" s="629">
        <f t="shared" si="7"/>
        <v>0</v>
      </c>
      <c r="I131" s="629">
        <v>0</v>
      </c>
      <c r="J131" s="629">
        <v>0</v>
      </c>
    </row>
    <row r="132" spans="1:10" x14ac:dyDescent="0.2">
      <c r="A132" s="630">
        <v>109</v>
      </c>
      <c r="B132" s="21" t="s">
        <v>270</v>
      </c>
      <c r="C132" s="22" t="s">
        <v>271</v>
      </c>
      <c r="D132" s="629">
        <f t="shared" si="5"/>
        <v>0</v>
      </c>
      <c r="E132" s="629">
        <v>0</v>
      </c>
      <c r="F132" s="629">
        <f t="shared" si="6"/>
        <v>0</v>
      </c>
      <c r="G132" s="629">
        <v>0</v>
      </c>
      <c r="H132" s="629">
        <f t="shared" si="7"/>
        <v>0</v>
      </c>
      <c r="I132" s="629">
        <v>0</v>
      </c>
      <c r="J132" s="629">
        <v>0</v>
      </c>
    </row>
    <row r="133" spans="1:10" x14ac:dyDescent="0.2">
      <c r="A133" s="630">
        <v>110</v>
      </c>
      <c r="B133" s="27" t="s">
        <v>272</v>
      </c>
      <c r="C133" s="28" t="s">
        <v>273</v>
      </c>
      <c r="D133" s="629">
        <f t="shared" si="5"/>
        <v>0</v>
      </c>
      <c r="E133" s="629">
        <v>0</v>
      </c>
      <c r="F133" s="629">
        <f t="shared" si="6"/>
        <v>0</v>
      </c>
      <c r="G133" s="629">
        <v>0</v>
      </c>
      <c r="H133" s="629">
        <f t="shared" si="7"/>
        <v>0</v>
      </c>
      <c r="I133" s="629">
        <v>0</v>
      </c>
      <c r="J133" s="629">
        <v>0</v>
      </c>
    </row>
    <row r="134" spans="1:10" x14ac:dyDescent="0.2">
      <c r="A134" s="630">
        <v>111</v>
      </c>
      <c r="B134" s="27" t="s">
        <v>274</v>
      </c>
      <c r="C134" s="22" t="s">
        <v>275</v>
      </c>
      <c r="D134" s="629">
        <f t="shared" si="5"/>
        <v>600</v>
      </c>
      <c r="E134" s="629">
        <v>600</v>
      </c>
      <c r="F134" s="629">
        <f t="shared" si="6"/>
        <v>0</v>
      </c>
      <c r="G134" s="629">
        <v>0</v>
      </c>
      <c r="H134" s="629">
        <f t="shared" si="7"/>
        <v>0</v>
      </c>
      <c r="I134" s="629">
        <v>0</v>
      </c>
      <c r="J134" s="629">
        <v>0</v>
      </c>
    </row>
    <row r="135" spans="1:10" x14ac:dyDescent="0.2">
      <c r="A135" s="630">
        <v>112</v>
      </c>
      <c r="B135" s="48" t="s">
        <v>276</v>
      </c>
      <c r="C135" s="49" t="s">
        <v>277</v>
      </c>
      <c r="D135" s="629">
        <f t="shared" si="5"/>
        <v>0</v>
      </c>
      <c r="E135" s="629">
        <v>0</v>
      </c>
      <c r="F135" s="629">
        <f t="shared" si="6"/>
        <v>0</v>
      </c>
      <c r="G135" s="629">
        <v>0</v>
      </c>
      <c r="H135" s="629">
        <f t="shared" si="7"/>
        <v>0</v>
      </c>
      <c r="I135" s="629">
        <v>0</v>
      </c>
      <c r="J135" s="629">
        <v>0</v>
      </c>
    </row>
    <row r="136" spans="1:10" x14ac:dyDescent="0.2">
      <c r="A136" s="630">
        <v>113</v>
      </c>
      <c r="B136" s="21" t="s">
        <v>278</v>
      </c>
      <c r="C136" s="22" t="s">
        <v>279</v>
      </c>
      <c r="D136" s="629">
        <f t="shared" si="5"/>
        <v>0</v>
      </c>
      <c r="E136" s="629">
        <v>0</v>
      </c>
      <c r="F136" s="629">
        <f t="shared" si="6"/>
        <v>0</v>
      </c>
      <c r="G136" s="629">
        <v>0</v>
      </c>
      <c r="H136" s="629">
        <f t="shared" si="7"/>
        <v>0</v>
      </c>
      <c r="I136" s="629">
        <v>0</v>
      </c>
      <c r="J136" s="629">
        <v>0</v>
      </c>
    </row>
    <row r="137" spans="1:10" x14ac:dyDescent="0.2">
      <c r="A137" s="630">
        <v>114</v>
      </c>
      <c r="B137" s="21" t="s">
        <v>280</v>
      </c>
      <c r="C137" s="22" t="s">
        <v>281</v>
      </c>
      <c r="D137" s="629">
        <f t="shared" si="5"/>
        <v>0</v>
      </c>
      <c r="E137" s="629">
        <v>0</v>
      </c>
      <c r="F137" s="629">
        <f t="shared" si="6"/>
        <v>0</v>
      </c>
      <c r="G137" s="629">
        <v>0</v>
      </c>
      <c r="H137" s="629">
        <f t="shared" si="7"/>
        <v>0</v>
      </c>
      <c r="I137" s="629">
        <v>0</v>
      </c>
      <c r="J137" s="629">
        <v>0</v>
      </c>
    </row>
    <row r="138" spans="1:10" x14ac:dyDescent="0.2">
      <c r="A138" s="630">
        <v>115</v>
      </c>
      <c r="B138" s="21" t="s">
        <v>282</v>
      </c>
      <c r="C138" s="22" t="s">
        <v>768</v>
      </c>
      <c r="D138" s="629">
        <f t="shared" si="5"/>
        <v>0</v>
      </c>
      <c r="E138" s="629">
        <v>0</v>
      </c>
      <c r="F138" s="629">
        <f t="shared" si="6"/>
        <v>0</v>
      </c>
      <c r="G138" s="629">
        <v>0</v>
      </c>
      <c r="H138" s="629">
        <f t="shared" si="7"/>
        <v>0</v>
      </c>
      <c r="I138" s="629">
        <v>0</v>
      </c>
      <c r="J138" s="629">
        <v>0</v>
      </c>
    </row>
    <row r="139" spans="1:10" x14ac:dyDescent="0.2">
      <c r="A139" s="630">
        <v>116</v>
      </c>
      <c r="B139" s="48" t="s">
        <v>283</v>
      </c>
      <c r="C139" s="49" t="s">
        <v>284</v>
      </c>
      <c r="D139" s="629">
        <f t="shared" si="5"/>
        <v>39102</v>
      </c>
      <c r="E139" s="629">
        <v>0</v>
      </c>
      <c r="F139" s="629">
        <f t="shared" si="6"/>
        <v>39102</v>
      </c>
      <c r="G139" s="629">
        <v>0</v>
      </c>
      <c r="H139" s="629">
        <f t="shared" si="7"/>
        <v>39102</v>
      </c>
      <c r="I139" s="629">
        <v>0</v>
      </c>
      <c r="J139" s="629">
        <v>39102</v>
      </c>
    </row>
    <row r="140" spans="1:10" x14ac:dyDescent="0.2">
      <c r="A140" s="630">
        <v>117</v>
      </c>
      <c r="B140" s="29" t="s">
        <v>285</v>
      </c>
      <c r="C140" s="49" t="s">
        <v>726</v>
      </c>
      <c r="D140" s="629">
        <f t="shared" si="5"/>
        <v>24178</v>
      </c>
      <c r="E140" s="629">
        <v>0</v>
      </c>
      <c r="F140" s="629">
        <f t="shared" si="6"/>
        <v>24178</v>
      </c>
      <c r="G140" s="629">
        <v>5374</v>
      </c>
      <c r="H140" s="629">
        <f t="shared" si="7"/>
        <v>18804</v>
      </c>
      <c r="I140" s="629">
        <v>345</v>
      </c>
      <c r="J140" s="629">
        <v>18459</v>
      </c>
    </row>
    <row r="141" spans="1:10" x14ac:dyDescent="0.2">
      <c r="A141" s="630">
        <v>118</v>
      </c>
      <c r="B141" s="21" t="s">
        <v>286</v>
      </c>
      <c r="C141" s="22" t="s">
        <v>287</v>
      </c>
      <c r="D141" s="629">
        <f t="shared" si="5"/>
        <v>0</v>
      </c>
      <c r="E141" s="629">
        <v>0</v>
      </c>
      <c r="F141" s="629">
        <f t="shared" si="6"/>
        <v>0</v>
      </c>
      <c r="G141" s="629">
        <v>0</v>
      </c>
      <c r="H141" s="629">
        <f t="shared" si="7"/>
        <v>0</v>
      </c>
      <c r="I141" s="629">
        <v>0</v>
      </c>
      <c r="J141" s="629">
        <v>0</v>
      </c>
    </row>
    <row r="142" spans="1:10" x14ac:dyDescent="0.2">
      <c r="A142" s="630">
        <v>119</v>
      </c>
      <c r="B142" s="27" t="s">
        <v>288</v>
      </c>
      <c r="C142" s="28" t="s">
        <v>289</v>
      </c>
      <c r="D142" s="629">
        <f t="shared" si="5"/>
        <v>0</v>
      </c>
      <c r="E142" s="629">
        <v>0</v>
      </c>
      <c r="F142" s="629">
        <f t="shared" si="6"/>
        <v>0</v>
      </c>
      <c r="G142" s="629">
        <v>0</v>
      </c>
      <c r="H142" s="629">
        <f t="shared" si="7"/>
        <v>0</v>
      </c>
      <c r="I142" s="629">
        <v>0</v>
      </c>
      <c r="J142" s="629">
        <v>0</v>
      </c>
    </row>
    <row r="143" spans="1:10" x14ac:dyDescent="0.2">
      <c r="A143" s="630">
        <v>120</v>
      </c>
      <c r="B143" s="21" t="s">
        <v>290</v>
      </c>
      <c r="C143" s="22" t="s">
        <v>291</v>
      </c>
      <c r="D143" s="629">
        <f t="shared" si="5"/>
        <v>0</v>
      </c>
      <c r="E143" s="629">
        <v>0</v>
      </c>
      <c r="F143" s="629">
        <v>0</v>
      </c>
      <c r="G143" s="629">
        <v>0</v>
      </c>
      <c r="H143" s="629">
        <v>0</v>
      </c>
      <c r="I143" s="629">
        <v>0</v>
      </c>
      <c r="J143" s="629">
        <v>0</v>
      </c>
    </row>
    <row r="144" spans="1:10" x14ac:dyDescent="0.2">
      <c r="A144" s="630">
        <v>121</v>
      </c>
      <c r="B144" s="60" t="s">
        <v>292</v>
      </c>
      <c r="C144" s="637" t="s">
        <v>293</v>
      </c>
      <c r="D144" s="629">
        <f t="shared" si="5"/>
        <v>0</v>
      </c>
      <c r="E144" s="629">
        <v>0</v>
      </c>
      <c r="F144" s="629">
        <v>0</v>
      </c>
      <c r="G144" s="629">
        <v>0</v>
      </c>
      <c r="H144" s="629">
        <v>0</v>
      </c>
      <c r="I144" s="629">
        <v>0</v>
      </c>
      <c r="J144" s="629">
        <v>0</v>
      </c>
    </row>
    <row r="145" spans="1:10" x14ac:dyDescent="0.2">
      <c r="A145" s="630">
        <v>122</v>
      </c>
      <c r="B145" s="62" t="s">
        <v>294</v>
      </c>
      <c r="C145" s="638" t="s">
        <v>295</v>
      </c>
      <c r="D145" s="629">
        <f t="shared" ref="D145:D150" si="8">E145+F145</f>
        <v>0</v>
      </c>
      <c r="E145" s="629">
        <v>0</v>
      </c>
      <c r="F145" s="629">
        <v>0</v>
      </c>
      <c r="G145" s="629">
        <v>0</v>
      </c>
      <c r="H145" s="629">
        <v>0</v>
      </c>
      <c r="I145" s="629">
        <v>0</v>
      </c>
      <c r="J145" s="629">
        <v>0</v>
      </c>
    </row>
    <row r="146" spans="1:10" ht="12.75" x14ac:dyDescent="0.2">
      <c r="A146" s="630">
        <v>123</v>
      </c>
      <c r="B146" s="60" t="s">
        <v>296</v>
      </c>
      <c r="C146" s="639" t="s">
        <v>460</v>
      </c>
      <c r="D146" s="629">
        <f t="shared" si="8"/>
        <v>0</v>
      </c>
      <c r="E146" s="629">
        <v>0</v>
      </c>
      <c r="F146" s="629">
        <v>0</v>
      </c>
      <c r="G146" s="629">
        <v>0</v>
      </c>
      <c r="H146" s="629">
        <v>0</v>
      </c>
      <c r="I146" s="629">
        <v>0</v>
      </c>
      <c r="J146" s="629">
        <v>0</v>
      </c>
    </row>
    <row r="147" spans="1:10" x14ac:dyDescent="0.2">
      <c r="A147" s="630">
        <v>124</v>
      </c>
      <c r="B147" s="630" t="s">
        <v>298</v>
      </c>
      <c r="C147" s="640" t="s">
        <v>299</v>
      </c>
      <c r="D147" s="629">
        <f t="shared" si="8"/>
        <v>0</v>
      </c>
      <c r="E147" s="629">
        <v>0</v>
      </c>
      <c r="F147" s="629">
        <v>0</v>
      </c>
      <c r="G147" s="629">
        <v>0</v>
      </c>
      <c r="H147" s="629">
        <v>0</v>
      </c>
      <c r="I147" s="629">
        <v>0</v>
      </c>
      <c r="J147" s="629">
        <v>0</v>
      </c>
    </row>
    <row r="148" spans="1:10" x14ac:dyDescent="0.2">
      <c r="A148" s="630">
        <v>125</v>
      </c>
      <c r="B148" s="641" t="s">
        <v>300</v>
      </c>
      <c r="C148" s="642" t="s">
        <v>301</v>
      </c>
      <c r="D148" s="629">
        <f t="shared" si="8"/>
        <v>0</v>
      </c>
      <c r="E148" s="629">
        <v>0</v>
      </c>
      <c r="F148" s="629">
        <v>0</v>
      </c>
      <c r="G148" s="629">
        <v>0</v>
      </c>
      <c r="H148" s="629">
        <v>0</v>
      </c>
      <c r="I148" s="629">
        <v>0</v>
      </c>
      <c r="J148" s="629">
        <v>0</v>
      </c>
    </row>
    <row r="149" spans="1:10" x14ac:dyDescent="0.2">
      <c r="A149" s="630">
        <v>126</v>
      </c>
      <c r="B149" s="643" t="s">
        <v>302</v>
      </c>
      <c r="C149" s="644" t="s">
        <v>303</v>
      </c>
      <c r="D149" s="629">
        <f t="shared" si="8"/>
        <v>0</v>
      </c>
      <c r="E149" s="629">
        <v>0</v>
      </c>
      <c r="F149" s="629">
        <v>0</v>
      </c>
      <c r="G149" s="629">
        <v>0</v>
      </c>
      <c r="H149" s="629">
        <v>0</v>
      </c>
      <c r="I149" s="629">
        <v>0</v>
      </c>
      <c r="J149" s="629">
        <v>0</v>
      </c>
    </row>
    <row r="150" spans="1:10" x14ac:dyDescent="0.2">
      <c r="A150" s="630">
        <v>127</v>
      </c>
      <c r="B150" s="74" t="s">
        <v>304</v>
      </c>
      <c r="C150" s="143" t="s">
        <v>305</v>
      </c>
      <c r="D150" s="629">
        <f t="shared" si="8"/>
        <v>0</v>
      </c>
      <c r="E150" s="629">
        <v>0</v>
      </c>
      <c r="F150" s="629">
        <v>0</v>
      </c>
      <c r="G150" s="629">
        <v>0</v>
      </c>
      <c r="H150" s="629">
        <v>0</v>
      </c>
      <c r="I150" s="629">
        <v>0</v>
      </c>
      <c r="J150" s="629">
        <v>0</v>
      </c>
    </row>
    <row r="151" spans="1:10" ht="16.5" customHeight="1" x14ac:dyDescent="0.2">
      <c r="A151" s="991"/>
      <c r="B151" s="991"/>
      <c r="C151" s="991"/>
      <c r="D151" s="991"/>
      <c r="E151" s="991"/>
      <c r="F151" s="991"/>
      <c r="G151" s="991"/>
      <c r="H151" s="991"/>
      <c r="I151" s="991"/>
      <c r="J151" s="991"/>
    </row>
  </sheetData>
  <mergeCells count="24">
    <mergeCell ref="A93:A96"/>
    <mergeCell ref="B93:B96"/>
    <mergeCell ref="A151:J151"/>
    <mergeCell ref="A12:C12"/>
    <mergeCell ref="A37:A38"/>
    <mergeCell ref="A75:A77"/>
    <mergeCell ref="A85:A86"/>
    <mergeCell ref="A88:A89"/>
    <mergeCell ref="A78:A81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  <mergeCell ref="A10:C10"/>
    <mergeCell ref="A11:C11"/>
    <mergeCell ref="G6:J6"/>
    <mergeCell ref="G7:G8"/>
    <mergeCell ref="H7:J7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8"/>
  <sheetViews>
    <sheetView workbookViewId="0">
      <pane xSplit="4" ySplit="10" topLeftCell="H11" activePane="bottomRight" state="frozen"/>
      <selection activeCell="B125" sqref="B125"/>
      <selection pane="topRight" activeCell="B125" sqref="B125"/>
      <selection pane="bottomLeft" activeCell="B125" sqref="B125"/>
      <selection pane="bottomRight" activeCell="V13" sqref="V13"/>
    </sheetView>
  </sheetViews>
  <sheetFormatPr defaultRowHeight="12" x14ac:dyDescent="0.2"/>
  <cols>
    <col min="1" max="1" width="6.140625" style="809" customWidth="1"/>
    <col min="2" max="2" width="9.140625" style="809"/>
    <col min="3" max="3" width="33.140625" style="809" customWidth="1"/>
    <col min="4" max="4" width="13.140625" style="809" customWidth="1"/>
    <col min="5" max="5" width="10.5703125" style="809" customWidth="1"/>
    <col min="6" max="6" width="12" style="809" customWidth="1"/>
    <col min="7" max="9" width="11.28515625" style="809" customWidth="1"/>
    <col min="10" max="10" width="13.28515625" style="809" customWidth="1"/>
    <col min="11" max="11" width="12.42578125" style="809" customWidth="1"/>
    <col min="12" max="12" width="11.7109375" style="809" customWidth="1"/>
    <col min="13" max="14" width="10.5703125" style="809" customWidth="1"/>
    <col min="15" max="17" width="10.140625" style="809" customWidth="1"/>
    <col min="18" max="18" width="14.5703125" style="809" customWidth="1"/>
    <col min="19" max="19" width="21.140625" style="809" customWidth="1"/>
    <col min="20" max="16384" width="9.140625" style="809"/>
  </cols>
  <sheetData>
    <row r="1" spans="1:19" ht="15.75" x14ac:dyDescent="0.2">
      <c r="B1" s="993" t="s">
        <v>479</v>
      </c>
      <c r="C1" s="993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</row>
    <row r="2" spans="1:19" ht="12" customHeight="1" x14ac:dyDescent="0.2">
      <c r="A2" s="995" t="s">
        <v>0</v>
      </c>
      <c r="B2" s="996" t="s">
        <v>326</v>
      </c>
      <c r="C2" s="995" t="s">
        <v>309</v>
      </c>
      <c r="D2" s="999" t="s">
        <v>480</v>
      </c>
      <c r="E2" s="999"/>
      <c r="F2" s="999"/>
      <c r="G2" s="999"/>
      <c r="H2" s="999"/>
      <c r="I2" s="999"/>
      <c r="J2" s="999"/>
      <c r="K2" s="999"/>
      <c r="L2" s="999"/>
      <c r="M2" s="999"/>
      <c r="N2" s="999"/>
      <c r="O2" s="999"/>
      <c r="P2" s="999"/>
      <c r="Q2" s="999"/>
      <c r="R2" s="999"/>
      <c r="S2" s="999"/>
    </row>
    <row r="3" spans="1:19" ht="12" customHeight="1" x14ac:dyDescent="0.2">
      <c r="A3" s="995"/>
      <c r="B3" s="997"/>
      <c r="C3" s="995"/>
      <c r="D3" s="1000" t="s">
        <v>441</v>
      </c>
      <c r="E3" s="999" t="s">
        <v>447</v>
      </c>
      <c r="F3" s="999"/>
      <c r="G3" s="999"/>
      <c r="H3" s="999"/>
      <c r="I3" s="999"/>
      <c r="J3" s="999"/>
      <c r="K3" s="999"/>
      <c r="L3" s="999"/>
      <c r="M3" s="999"/>
      <c r="N3" s="999"/>
      <c r="O3" s="999"/>
      <c r="P3" s="999"/>
      <c r="Q3" s="999"/>
      <c r="R3" s="999"/>
      <c r="S3" s="999"/>
    </row>
    <row r="4" spans="1:19" ht="28.5" customHeight="1" x14ac:dyDescent="0.2">
      <c r="A4" s="995"/>
      <c r="B4" s="997"/>
      <c r="C4" s="995"/>
      <c r="D4" s="1000"/>
      <c r="E4" s="995" t="s">
        <v>465</v>
      </c>
      <c r="F4" s="995"/>
      <c r="G4" s="995"/>
      <c r="H4" s="1002" t="s">
        <v>466</v>
      </c>
      <c r="I4" s="1005"/>
      <c r="J4" s="1005"/>
      <c r="K4" s="1005"/>
      <c r="L4" s="1003"/>
      <c r="M4" s="995" t="s">
        <v>481</v>
      </c>
      <c r="N4" s="995"/>
      <c r="O4" s="1002" t="s">
        <v>482</v>
      </c>
      <c r="P4" s="1005"/>
      <c r="Q4" s="1005"/>
      <c r="R4" s="1003"/>
      <c r="S4" s="1006" t="s">
        <v>745</v>
      </c>
    </row>
    <row r="5" spans="1:19" ht="47.25" customHeight="1" x14ac:dyDescent="0.2">
      <c r="A5" s="995"/>
      <c r="B5" s="997"/>
      <c r="C5" s="995"/>
      <c r="D5" s="1000"/>
      <c r="E5" s="1004" t="s">
        <v>46</v>
      </c>
      <c r="F5" s="1002" t="s">
        <v>447</v>
      </c>
      <c r="G5" s="1003"/>
      <c r="H5" s="1004" t="s">
        <v>46</v>
      </c>
      <c r="I5" s="995" t="s">
        <v>45</v>
      </c>
      <c r="J5" s="995"/>
      <c r="K5" s="995" t="s">
        <v>49</v>
      </c>
      <c r="L5" s="995"/>
      <c r="M5" s="995" t="s">
        <v>483</v>
      </c>
      <c r="N5" s="995" t="s">
        <v>484</v>
      </c>
      <c r="O5" s="995" t="s">
        <v>46</v>
      </c>
      <c r="P5" s="1009" t="s">
        <v>485</v>
      </c>
      <c r="Q5" s="1004" t="s">
        <v>50</v>
      </c>
      <c r="R5" s="1004" t="s">
        <v>486</v>
      </c>
      <c r="S5" s="1007"/>
    </row>
    <row r="6" spans="1:19" ht="36.75" customHeight="1" x14ac:dyDescent="0.2">
      <c r="A6" s="995"/>
      <c r="B6" s="998"/>
      <c r="C6" s="995"/>
      <c r="D6" s="1001"/>
      <c r="E6" s="1001"/>
      <c r="F6" s="810" t="s">
        <v>51</v>
      </c>
      <c r="G6" s="811" t="s">
        <v>50</v>
      </c>
      <c r="H6" s="1001"/>
      <c r="I6" s="812" t="s">
        <v>485</v>
      </c>
      <c r="J6" s="811" t="s">
        <v>53</v>
      </c>
      <c r="K6" s="811" t="s">
        <v>51</v>
      </c>
      <c r="L6" s="811" t="s">
        <v>50</v>
      </c>
      <c r="M6" s="995"/>
      <c r="N6" s="995"/>
      <c r="O6" s="995"/>
      <c r="P6" s="1010"/>
      <c r="Q6" s="1001"/>
      <c r="R6" s="1001"/>
      <c r="S6" s="1008"/>
    </row>
    <row r="7" spans="1:19" s="816" customFormat="1" ht="11.25" x14ac:dyDescent="0.2">
      <c r="A7" s="813">
        <v>1</v>
      </c>
      <c r="B7" s="813">
        <v>2</v>
      </c>
      <c r="C7" s="813">
        <v>3</v>
      </c>
      <c r="D7" s="814">
        <v>4</v>
      </c>
      <c r="E7" s="815">
        <v>5</v>
      </c>
      <c r="F7" s="815">
        <v>6</v>
      </c>
      <c r="G7" s="815">
        <v>7</v>
      </c>
      <c r="H7" s="815">
        <v>8</v>
      </c>
      <c r="I7" s="815">
        <v>9</v>
      </c>
      <c r="J7" s="815">
        <v>10</v>
      </c>
      <c r="K7" s="815">
        <v>11</v>
      </c>
      <c r="L7" s="815">
        <v>12</v>
      </c>
      <c r="M7" s="815">
        <v>13</v>
      </c>
      <c r="N7" s="815">
        <v>14</v>
      </c>
      <c r="O7" s="815">
        <v>15</v>
      </c>
      <c r="P7" s="815">
        <v>16</v>
      </c>
      <c r="Q7" s="815">
        <v>17</v>
      </c>
      <c r="R7" s="815">
        <v>18</v>
      </c>
      <c r="S7" s="815">
        <v>19</v>
      </c>
    </row>
    <row r="8" spans="1:19" s="816" customFormat="1" x14ac:dyDescent="0.2">
      <c r="A8" s="965" t="s">
        <v>44</v>
      </c>
      <c r="B8" s="965"/>
      <c r="C8" s="965"/>
      <c r="D8" s="817">
        <f>E8+H8+M8+N8+O8+S8</f>
        <v>5185833</v>
      </c>
      <c r="E8" s="817">
        <f t="shared" ref="E8:S8" si="0">E9+E10</f>
        <v>151672</v>
      </c>
      <c r="F8" s="817">
        <f t="shared" si="0"/>
        <v>7690</v>
      </c>
      <c r="G8" s="817">
        <f t="shared" si="0"/>
        <v>143982</v>
      </c>
      <c r="H8" s="817">
        <f>H9+H10</f>
        <v>3992492</v>
      </c>
      <c r="I8" s="817">
        <f t="shared" si="0"/>
        <v>36468</v>
      </c>
      <c r="J8" s="817">
        <f t="shared" si="0"/>
        <v>375439</v>
      </c>
      <c r="K8" s="817">
        <f>K9+K10</f>
        <v>411987</v>
      </c>
      <c r="L8" s="817">
        <f t="shared" si="0"/>
        <v>3020159</v>
      </c>
      <c r="M8" s="817">
        <f t="shared" si="0"/>
        <v>49200</v>
      </c>
      <c r="N8" s="817">
        <f t="shared" si="0"/>
        <v>21072</v>
      </c>
      <c r="O8" s="817">
        <f t="shared" si="0"/>
        <v>948805</v>
      </c>
      <c r="P8" s="817">
        <f t="shared" si="0"/>
        <v>6965</v>
      </c>
      <c r="Q8" s="817">
        <f t="shared" si="0"/>
        <v>941840</v>
      </c>
      <c r="R8" s="817">
        <f t="shared" si="0"/>
        <v>330</v>
      </c>
      <c r="S8" s="817">
        <f t="shared" si="0"/>
        <v>22592</v>
      </c>
    </row>
    <row r="9" spans="1:19" s="816" customFormat="1" ht="12" customHeight="1" x14ac:dyDescent="0.2">
      <c r="A9" s="966" t="s">
        <v>14</v>
      </c>
      <c r="B9" s="967"/>
      <c r="C9" s="968"/>
      <c r="D9" s="815">
        <f>H9+M9+N9+O9+S9</f>
        <v>149867</v>
      </c>
      <c r="E9" s="815">
        <f>F9+G9</f>
        <v>0</v>
      </c>
      <c r="F9" s="815">
        <v>0</v>
      </c>
      <c r="G9" s="815">
        <v>0</v>
      </c>
      <c r="H9" s="815">
        <f>144439+4000</f>
        <v>148439</v>
      </c>
      <c r="I9" s="815">
        <f>'[19]Раз.пос.(Пр.3-26)     '!I9+'[19]Уточнение для Пр.5-26'!I9</f>
        <v>0</v>
      </c>
      <c r="J9" s="815">
        <f>'[19]Раз.пос.(Пр.3-26)     '!J9+'[19]Уточнение для Пр.5-26'!J9</f>
        <v>0</v>
      </c>
      <c r="K9" s="815">
        <f>'[19]Раз.пос.(Пр.3-26)     '!K9+'[19]Уточнение для Пр.5-26'!K9</f>
        <v>0</v>
      </c>
      <c r="L9" s="815">
        <f>'[19]Раз.пос.(Пр.3-26)     '!L9+'[19]Уточнение для Пр.5-26'!L9</f>
        <v>0</v>
      </c>
      <c r="M9" s="815">
        <v>0</v>
      </c>
      <c r="N9" s="815">
        <v>0</v>
      </c>
      <c r="O9" s="815">
        <f>P9+Q9</f>
        <v>0</v>
      </c>
      <c r="P9" s="815">
        <f>'[19]Раз.пос.(Пр.3-26)     '!P9+'[19]Уточнение для Пр.5-26'!P9</f>
        <v>0</v>
      </c>
      <c r="Q9" s="815">
        <v>0</v>
      </c>
      <c r="R9" s="815">
        <f>'[19]Раз.пос.(Пр.3-26)     '!R9+'[19]Уточнение для Пр.5-26'!R9</f>
        <v>0</v>
      </c>
      <c r="S9" s="815">
        <f>'[19]Раз.пос.(Пр.3-26)     '!S9+'[19]Уточнение для Пр.5-26'!S9</f>
        <v>1428</v>
      </c>
    </row>
    <row r="10" spans="1:19" s="816" customFormat="1" ht="12" customHeight="1" x14ac:dyDescent="0.2">
      <c r="A10" s="966" t="s">
        <v>15</v>
      </c>
      <c r="B10" s="967"/>
      <c r="C10" s="968"/>
      <c r="D10" s="817">
        <f>SUM(D11:D142)-D91-D36-D74-D75-D77-D78-D79-D84-D87</f>
        <v>5035966</v>
      </c>
      <c r="E10" s="817">
        <f t="shared" ref="E10:S10" si="1">SUM(E11:E142)-E91-E36-E74-E75-E77-E78-E79-E84-E87</f>
        <v>151672</v>
      </c>
      <c r="F10" s="817">
        <f t="shared" si="1"/>
        <v>7690</v>
      </c>
      <c r="G10" s="817">
        <f t="shared" si="1"/>
        <v>143982</v>
      </c>
      <c r="H10" s="817">
        <f t="shared" si="1"/>
        <v>3844053</v>
      </c>
      <c r="I10" s="817">
        <f t="shared" si="1"/>
        <v>36468</v>
      </c>
      <c r="J10" s="817">
        <f t="shared" si="1"/>
        <v>375439</v>
      </c>
      <c r="K10" s="817">
        <f t="shared" si="1"/>
        <v>411987</v>
      </c>
      <c r="L10" s="817">
        <f t="shared" si="1"/>
        <v>3020159</v>
      </c>
      <c r="M10" s="817">
        <f t="shared" si="1"/>
        <v>49200</v>
      </c>
      <c r="N10" s="817">
        <f t="shared" si="1"/>
        <v>21072</v>
      </c>
      <c r="O10" s="817">
        <f t="shared" si="1"/>
        <v>948805</v>
      </c>
      <c r="P10" s="817">
        <f t="shared" si="1"/>
        <v>6965</v>
      </c>
      <c r="Q10" s="817">
        <f t="shared" si="1"/>
        <v>941840</v>
      </c>
      <c r="R10" s="817">
        <f t="shared" si="1"/>
        <v>330</v>
      </c>
      <c r="S10" s="817">
        <f t="shared" si="1"/>
        <v>21164</v>
      </c>
    </row>
    <row r="11" spans="1:19" x14ac:dyDescent="0.2">
      <c r="A11" s="160">
        <v>1</v>
      </c>
      <c r="B11" s="48" t="s">
        <v>54</v>
      </c>
      <c r="C11" s="49" t="s">
        <v>55</v>
      </c>
      <c r="D11" s="815">
        <f>E11+H11+M11+N11+O11+S11</f>
        <v>17842</v>
      </c>
      <c r="E11" s="818">
        <f>F11+G11</f>
        <v>0</v>
      </c>
      <c r="F11" s="818">
        <v>0</v>
      </c>
      <c r="G11" s="818">
        <v>0</v>
      </c>
      <c r="H11" s="818">
        <f>SUM(I11:L11)</f>
        <v>16378</v>
      </c>
      <c r="I11" s="645">
        <v>0</v>
      </c>
      <c r="J11" s="818">
        <v>1348</v>
      </c>
      <c r="K11" s="818">
        <v>2406</v>
      </c>
      <c r="L11" s="818">
        <v>12624</v>
      </c>
      <c r="M11" s="818">
        <v>1025</v>
      </c>
      <c r="N11" s="818">
        <v>439</v>
      </c>
      <c r="O11" s="815">
        <f>P11+Q11</f>
        <v>0</v>
      </c>
      <c r="P11" s="818">
        <v>0</v>
      </c>
      <c r="Q11" s="818">
        <v>0</v>
      </c>
      <c r="R11" s="818">
        <v>0</v>
      </c>
      <c r="S11" s="818">
        <f>'[19]Раз.пос.(Пр.3-26)     '!S11+'[19]Уточнение для Пр.5-26'!S11</f>
        <v>0</v>
      </c>
    </row>
    <row r="12" spans="1:19" x14ac:dyDescent="0.2">
      <c r="A12" s="160">
        <v>2</v>
      </c>
      <c r="B12" s="51" t="s">
        <v>56</v>
      </c>
      <c r="C12" s="49" t="s">
        <v>57</v>
      </c>
      <c r="D12" s="815">
        <f>E12+H12+M12+N12+O12+S12</f>
        <v>18693</v>
      </c>
      <c r="E12" s="818">
        <f t="shared" ref="E12:E75" si="2">F12+G12</f>
        <v>0</v>
      </c>
      <c r="F12" s="818">
        <v>0</v>
      </c>
      <c r="G12" s="818">
        <v>0</v>
      </c>
      <c r="H12" s="818">
        <f t="shared" ref="H12:H75" si="3">SUM(I12:L12)</f>
        <v>17229</v>
      </c>
      <c r="I12" s="645">
        <v>0</v>
      </c>
      <c r="J12" s="818">
        <v>1515</v>
      </c>
      <c r="K12" s="818">
        <v>2065</v>
      </c>
      <c r="L12" s="818">
        <v>13649</v>
      </c>
      <c r="M12" s="818">
        <v>1025</v>
      </c>
      <c r="N12" s="818">
        <v>439</v>
      </c>
      <c r="O12" s="815">
        <f t="shared" ref="O12:O75" si="4">P12+Q12</f>
        <v>0</v>
      </c>
      <c r="P12" s="818">
        <v>0</v>
      </c>
      <c r="Q12" s="818">
        <v>0</v>
      </c>
      <c r="R12" s="818">
        <v>0</v>
      </c>
      <c r="S12" s="818">
        <f>'[19]Раз.пос.(Пр.3-26)     '!S12+'[19]Уточнение для Пр.5-26'!S12</f>
        <v>0</v>
      </c>
    </row>
    <row r="13" spans="1:19" x14ac:dyDescent="0.2">
      <c r="A13" s="160">
        <v>3</v>
      </c>
      <c r="B13" s="166" t="s">
        <v>16</v>
      </c>
      <c r="C13" s="49" t="s">
        <v>17</v>
      </c>
      <c r="D13" s="815">
        <f t="shared" ref="D13:D76" si="5">E13+H13+M13+N13+O13+S13</f>
        <v>44514</v>
      </c>
      <c r="E13" s="818">
        <f t="shared" si="2"/>
        <v>0</v>
      </c>
      <c r="F13" s="818">
        <v>0</v>
      </c>
      <c r="G13" s="818">
        <v>0</v>
      </c>
      <c r="H13" s="818">
        <f t="shared" si="3"/>
        <v>43050</v>
      </c>
      <c r="I13" s="645">
        <v>0</v>
      </c>
      <c r="J13" s="818">
        <v>2248</v>
      </c>
      <c r="K13" s="818">
        <v>10506</v>
      </c>
      <c r="L13" s="818">
        <v>30296</v>
      </c>
      <c r="M13" s="818">
        <v>1025</v>
      </c>
      <c r="N13" s="818">
        <v>439</v>
      </c>
      <c r="O13" s="815">
        <f t="shared" si="4"/>
        <v>0</v>
      </c>
      <c r="P13" s="818">
        <v>0</v>
      </c>
      <c r="Q13" s="818">
        <v>0</v>
      </c>
      <c r="R13" s="818">
        <v>0</v>
      </c>
      <c r="S13" s="818">
        <f>'[19]Раз.пос.(Пр.3-26)     '!S13+'[19]Уточнение для Пр.5-26'!S13</f>
        <v>0</v>
      </c>
    </row>
    <row r="14" spans="1:19" x14ac:dyDescent="0.2">
      <c r="A14" s="160">
        <v>4</v>
      </c>
      <c r="B14" s="48" t="s">
        <v>58</v>
      </c>
      <c r="C14" s="49" t="s">
        <v>59</v>
      </c>
      <c r="D14" s="815">
        <f t="shared" si="5"/>
        <v>12539</v>
      </c>
      <c r="E14" s="818">
        <f t="shared" si="2"/>
        <v>0</v>
      </c>
      <c r="F14" s="818">
        <v>0</v>
      </c>
      <c r="G14" s="818">
        <v>0</v>
      </c>
      <c r="H14" s="818">
        <f t="shared" si="3"/>
        <v>12539</v>
      </c>
      <c r="I14" s="645">
        <v>0</v>
      </c>
      <c r="J14" s="818">
        <v>1850</v>
      </c>
      <c r="K14" s="818">
        <v>1906</v>
      </c>
      <c r="L14" s="818">
        <v>8783</v>
      </c>
      <c r="M14" s="818">
        <v>0</v>
      </c>
      <c r="N14" s="818">
        <v>0</v>
      </c>
      <c r="O14" s="815">
        <f t="shared" si="4"/>
        <v>0</v>
      </c>
      <c r="P14" s="818">
        <v>0</v>
      </c>
      <c r="Q14" s="818">
        <v>0</v>
      </c>
      <c r="R14" s="818">
        <v>0</v>
      </c>
      <c r="S14" s="818">
        <f>'[19]Раз.пос.(Пр.3-26)     '!S14+'[19]Уточнение для Пр.5-26'!S14</f>
        <v>0</v>
      </c>
    </row>
    <row r="15" spans="1:19" x14ac:dyDescent="0.2">
      <c r="A15" s="160">
        <v>5</v>
      </c>
      <c r="B15" s="48" t="s">
        <v>60</v>
      </c>
      <c r="C15" s="49" t="s">
        <v>61</v>
      </c>
      <c r="D15" s="815">
        <f t="shared" si="5"/>
        <v>14747</v>
      </c>
      <c r="E15" s="818">
        <f t="shared" si="2"/>
        <v>0</v>
      </c>
      <c r="F15" s="818">
        <v>0</v>
      </c>
      <c r="G15" s="818">
        <v>0</v>
      </c>
      <c r="H15" s="818">
        <f t="shared" si="3"/>
        <v>14747</v>
      </c>
      <c r="I15" s="645">
        <v>0</v>
      </c>
      <c r="J15" s="818">
        <v>3050</v>
      </c>
      <c r="K15" s="818">
        <v>2412</v>
      </c>
      <c r="L15" s="818">
        <v>9285</v>
      </c>
      <c r="M15" s="818">
        <v>0</v>
      </c>
      <c r="N15" s="818">
        <v>0</v>
      </c>
      <c r="O15" s="815">
        <f t="shared" si="4"/>
        <v>0</v>
      </c>
      <c r="P15" s="818">
        <v>0</v>
      </c>
      <c r="Q15" s="818">
        <v>0</v>
      </c>
      <c r="R15" s="818">
        <v>0</v>
      </c>
      <c r="S15" s="818">
        <f>'[19]Раз.пос.(Пр.3-26)     '!S15+'[19]Уточнение для Пр.5-26'!S15</f>
        <v>0</v>
      </c>
    </row>
    <row r="16" spans="1:19" x14ac:dyDescent="0.2">
      <c r="A16" s="160">
        <v>6</v>
      </c>
      <c r="B16" s="166" t="s">
        <v>18</v>
      </c>
      <c r="C16" s="49" t="s">
        <v>19</v>
      </c>
      <c r="D16" s="815">
        <f t="shared" si="5"/>
        <v>120641</v>
      </c>
      <c r="E16" s="818">
        <f t="shared" si="2"/>
        <v>0</v>
      </c>
      <c r="F16" s="818">
        <v>0</v>
      </c>
      <c r="G16" s="818">
        <v>0</v>
      </c>
      <c r="H16" s="818">
        <f t="shared" si="3"/>
        <v>119177</v>
      </c>
      <c r="I16" s="645">
        <v>0</v>
      </c>
      <c r="J16" s="818">
        <v>14573</v>
      </c>
      <c r="K16" s="818">
        <v>6607</v>
      </c>
      <c r="L16" s="818">
        <v>97997</v>
      </c>
      <c r="M16" s="818">
        <v>1025</v>
      </c>
      <c r="N16" s="818">
        <v>439</v>
      </c>
      <c r="O16" s="815">
        <f t="shared" si="4"/>
        <v>0</v>
      </c>
      <c r="P16" s="818">
        <v>0</v>
      </c>
      <c r="Q16" s="818">
        <v>0</v>
      </c>
      <c r="R16" s="818">
        <v>0</v>
      </c>
      <c r="S16" s="818">
        <f>'[19]Раз.пос.(Пр.3-26)     '!S16+'[19]Уточнение для Пр.5-26'!S16</f>
        <v>0</v>
      </c>
    </row>
    <row r="17" spans="1:19" x14ac:dyDescent="0.2">
      <c r="A17" s="160">
        <v>7</v>
      </c>
      <c r="B17" s="48" t="s">
        <v>62</v>
      </c>
      <c r="C17" s="49" t="s">
        <v>63</v>
      </c>
      <c r="D17" s="815">
        <f t="shared" si="5"/>
        <v>55682</v>
      </c>
      <c r="E17" s="818">
        <f t="shared" si="2"/>
        <v>0</v>
      </c>
      <c r="F17" s="818">
        <v>0</v>
      </c>
      <c r="G17" s="818">
        <v>0</v>
      </c>
      <c r="H17" s="818">
        <f t="shared" si="3"/>
        <v>54078</v>
      </c>
      <c r="I17" s="645">
        <v>1373</v>
      </c>
      <c r="J17" s="818">
        <v>9140</v>
      </c>
      <c r="K17" s="818">
        <v>6568</v>
      </c>
      <c r="L17" s="818">
        <v>36997</v>
      </c>
      <c r="M17" s="818">
        <v>1025</v>
      </c>
      <c r="N17" s="818">
        <v>439</v>
      </c>
      <c r="O17" s="815">
        <f t="shared" si="4"/>
        <v>140</v>
      </c>
      <c r="P17" s="818">
        <v>0</v>
      </c>
      <c r="Q17" s="818">
        <v>140</v>
      </c>
      <c r="R17" s="818">
        <v>0</v>
      </c>
      <c r="S17" s="818">
        <f>'[19]Раз.пос.(Пр.3-26)     '!S17+'[19]Уточнение для Пр.5-26'!S17</f>
        <v>0</v>
      </c>
    </row>
    <row r="18" spans="1:19" x14ac:dyDescent="0.2">
      <c r="A18" s="160">
        <v>8</v>
      </c>
      <c r="B18" s="166" t="s">
        <v>64</v>
      </c>
      <c r="C18" s="49" t="s">
        <v>65</v>
      </c>
      <c r="D18" s="815">
        <f t="shared" si="5"/>
        <v>15025</v>
      </c>
      <c r="E18" s="818">
        <f t="shared" si="2"/>
        <v>0</v>
      </c>
      <c r="F18" s="818">
        <v>0</v>
      </c>
      <c r="G18" s="818">
        <v>0</v>
      </c>
      <c r="H18" s="818">
        <f t="shared" si="3"/>
        <v>15025</v>
      </c>
      <c r="I18" s="645">
        <v>0</v>
      </c>
      <c r="J18" s="818">
        <v>2631</v>
      </c>
      <c r="K18" s="818">
        <v>2238</v>
      </c>
      <c r="L18" s="818">
        <v>10156</v>
      </c>
      <c r="M18" s="818">
        <v>0</v>
      </c>
      <c r="N18" s="818">
        <v>0</v>
      </c>
      <c r="O18" s="815">
        <f t="shared" si="4"/>
        <v>0</v>
      </c>
      <c r="P18" s="818">
        <v>0</v>
      </c>
      <c r="Q18" s="818">
        <v>0</v>
      </c>
      <c r="R18" s="818">
        <v>0</v>
      </c>
      <c r="S18" s="818">
        <f>'[19]Раз.пос.(Пр.3-26)     '!S18+'[19]Уточнение для Пр.5-26'!S18</f>
        <v>0</v>
      </c>
    </row>
    <row r="19" spans="1:19" x14ac:dyDescent="0.2">
      <c r="A19" s="160">
        <v>9</v>
      </c>
      <c r="B19" s="166" t="s">
        <v>66</v>
      </c>
      <c r="C19" s="49" t="s">
        <v>67</v>
      </c>
      <c r="D19" s="815">
        <f t="shared" si="5"/>
        <v>20139</v>
      </c>
      <c r="E19" s="818">
        <f t="shared" si="2"/>
        <v>0</v>
      </c>
      <c r="F19" s="818">
        <v>0</v>
      </c>
      <c r="G19" s="818">
        <v>0</v>
      </c>
      <c r="H19" s="818">
        <f t="shared" si="3"/>
        <v>18675</v>
      </c>
      <c r="I19" s="645">
        <v>0</v>
      </c>
      <c r="J19" s="818">
        <v>1427</v>
      </c>
      <c r="K19" s="818">
        <v>3738</v>
      </c>
      <c r="L19" s="818">
        <v>13510</v>
      </c>
      <c r="M19" s="818">
        <v>1025</v>
      </c>
      <c r="N19" s="818">
        <v>439</v>
      </c>
      <c r="O19" s="815">
        <f t="shared" si="4"/>
        <v>0</v>
      </c>
      <c r="P19" s="818">
        <v>0</v>
      </c>
      <c r="Q19" s="818">
        <v>0</v>
      </c>
      <c r="R19" s="818">
        <v>0</v>
      </c>
      <c r="S19" s="818">
        <f>'[19]Раз.пос.(Пр.3-26)     '!S19+'[19]Уточнение для Пр.5-26'!S19</f>
        <v>0</v>
      </c>
    </row>
    <row r="20" spans="1:19" x14ac:dyDescent="0.2">
      <c r="A20" s="160">
        <v>10</v>
      </c>
      <c r="B20" s="166" t="s">
        <v>68</v>
      </c>
      <c r="C20" s="49" t="s">
        <v>69</v>
      </c>
      <c r="D20" s="815">
        <f t="shared" si="5"/>
        <v>18963</v>
      </c>
      <c r="E20" s="818">
        <f t="shared" si="2"/>
        <v>0</v>
      </c>
      <c r="F20" s="818">
        <v>0</v>
      </c>
      <c r="G20" s="818">
        <v>0</v>
      </c>
      <c r="H20" s="818">
        <f t="shared" si="3"/>
        <v>18963</v>
      </c>
      <c r="I20" s="645">
        <v>0</v>
      </c>
      <c r="J20" s="818">
        <v>530</v>
      </c>
      <c r="K20" s="818">
        <v>1575</v>
      </c>
      <c r="L20" s="818">
        <v>16858</v>
      </c>
      <c r="M20" s="818">
        <v>0</v>
      </c>
      <c r="N20" s="818">
        <v>0</v>
      </c>
      <c r="O20" s="815">
        <f t="shared" si="4"/>
        <v>0</v>
      </c>
      <c r="P20" s="818">
        <v>0</v>
      </c>
      <c r="Q20" s="818">
        <v>0</v>
      </c>
      <c r="R20" s="818">
        <v>0</v>
      </c>
      <c r="S20" s="818">
        <f>'[19]Раз.пос.(Пр.3-26)     '!S20+'[19]Уточнение для Пр.5-26'!S20</f>
        <v>0</v>
      </c>
    </row>
    <row r="21" spans="1:19" x14ac:dyDescent="0.2">
      <c r="A21" s="160">
        <v>11</v>
      </c>
      <c r="B21" s="166" t="s">
        <v>70</v>
      </c>
      <c r="C21" s="49" t="s">
        <v>71</v>
      </c>
      <c r="D21" s="815">
        <f t="shared" si="5"/>
        <v>12965</v>
      </c>
      <c r="E21" s="818">
        <f t="shared" si="2"/>
        <v>0</v>
      </c>
      <c r="F21" s="818">
        <v>0</v>
      </c>
      <c r="G21" s="818">
        <v>0</v>
      </c>
      <c r="H21" s="818">
        <f t="shared" si="3"/>
        <v>12965</v>
      </c>
      <c r="I21" s="645">
        <v>0</v>
      </c>
      <c r="J21" s="818">
        <v>2886</v>
      </c>
      <c r="K21" s="818">
        <v>1123</v>
      </c>
      <c r="L21" s="818">
        <v>8956</v>
      </c>
      <c r="M21" s="818">
        <v>0</v>
      </c>
      <c r="N21" s="818">
        <v>0</v>
      </c>
      <c r="O21" s="815">
        <f t="shared" si="4"/>
        <v>0</v>
      </c>
      <c r="P21" s="818">
        <v>0</v>
      </c>
      <c r="Q21" s="818">
        <v>0</v>
      </c>
      <c r="R21" s="818">
        <v>0</v>
      </c>
      <c r="S21" s="818">
        <f>'[19]Раз.пос.(Пр.3-26)     '!S21+'[19]Уточнение для Пр.5-26'!S21</f>
        <v>0</v>
      </c>
    </row>
    <row r="22" spans="1:19" x14ac:dyDescent="0.2">
      <c r="A22" s="160">
        <v>12</v>
      </c>
      <c r="B22" s="166" t="s">
        <v>72</v>
      </c>
      <c r="C22" s="49" t="s">
        <v>73</v>
      </c>
      <c r="D22" s="815">
        <f t="shared" si="5"/>
        <v>51025</v>
      </c>
      <c r="E22" s="818">
        <f t="shared" si="2"/>
        <v>0</v>
      </c>
      <c r="F22" s="818">
        <v>0</v>
      </c>
      <c r="G22" s="818">
        <v>0</v>
      </c>
      <c r="H22" s="818">
        <f t="shared" si="3"/>
        <v>49561</v>
      </c>
      <c r="I22" s="645">
        <v>0</v>
      </c>
      <c r="J22" s="818">
        <v>6000</v>
      </c>
      <c r="K22" s="818">
        <v>3766</v>
      </c>
      <c r="L22" s="818">
        <v>39795</v>
      </c>
      <c r="M22" s="818">
        <v>1025</v>
      </c>
      <c r="N22" s="818">
        <v>439</v>
      </c>
      <c r="O22" s="815">
        <f t="shared" si="4"/>
        <v>0</v>
      </c>
      <c r="P22" s="818">
        <v>0</v>
      </c>
      <c r="Q22" s="818">
        <v>0</v>
      </c>
      <c r="R22" s="818">
        <v>0</v>
      </c>
      <c r="S22" s="818">
        <f>'[19]Раз.пос.(Пр.3-26)     '!S22+'[19]Уточнение для Пр.5-26'!S22</f>
        <v>0</v>
      </c>
    </row>
    <row r="23" spans="1:19" x14ac:dyDescent="0.2">
      <c r="A23" s="160">
        <v>13</v>
      </c>
      <c r="B23" s="166" t="s">
        <v>74</v>
      </c>
      <c r="C23" s="49" t="s">
        <v>75</v>
      </c>
      <c r="D23" s="815">
        <f t="shared" si="5"/>
        <v>0</v>
      </c>
      <c r="E23" s="818">
        <f t="shared" si="2"/>
        <v>0</v>
      </c>
      <c r="F23" s="818">
        <v>0</v>
      </c>
      <c r="G23" s="818">
        <v>0</v>
      </c>
      <c r="H23" s="818">
        <f t="shared" si="3"/>
        <v>0</v>
      </c>
      <c r="I23" s="645">
        <v>0</v>
      </c>
      <c r="J23" s="818">
        <v>0</v>
      </c>
      <c r="K23" s="818">
        <v>0</v>
      </c>
      <c r="L23" s="818">
        <v>0</v>
      </c>
      <c r="M23" s="818">
        <v>0</v>
      </c>
      <c r="N23" s="818">
        <v>0</v>
      </c>
      <c r="O23" s="815">
        <f t="shared" si="4"/>
        <v>0</v>
      </c>
      <c r="P23" s="818">
        <v>0</v>
      </c>
      <c r="Q23" s="818">
        <v>0</v>
      </c>
      <c r="R23" s="818">
        <v>0</v>
      </c>
      <c r="S23" s="818">
        <f>'[19]Раз.пос.(Пр.3-26)     '!S23+'[19]Уточнение для Пр.5-26'!S23</f>
        <v>0</v>
      </c>
    </row>
    <row r="24" spans="1:19" x14ac:dyDescent="0.2">
      <c r="A24" s="160">
        <v>14</v>
      </c>
      <c r="B24" s="166" t="s">
        <v>76</v>
      </c>
      <c r="C24" s="49" t="s">
        <v>77</v>
      </c>
      <c r="D24" s="815">
        <f t="shared" si="5"/>
        <v>17819</v>
      </c>
      <c r="E24" s="818">
        <f t="shared" si="2"/>
        <v>0</v>
      </c>
      <c r="F24" s="818">
        <v>0</v>
      </c>
      <c r="G24" s="818">
        <v>0</v>
      </c>
      <c r="H24" s="818">
        <f t="shared" si="3"/>
        <v>17819</v>
      </c>
      <c r="I24" s="645">
        <v>0</v>
      </c>
      <c r="J24" s="818">
        <v>902</v>
      </c>
      <c r="K24" s="818">
        <v>1088</v>
      </c>
      <c r="L24" s="818">
        <v>15829</v>
      </c>
      <c r="M24" s="818">
        <v>0</v>
      </c>
      <c r="N24" s="818">
        <v>0</v>
      </c>
      <c r="O24" s="815">
        <f t="shared" si="4"/>
        <v>0</v>
      </c>
      <c r="P24" s="818">
        <v>0</v>
      </c>
      <c r="Q24" s="818">
        <v>0</v>
      </c>
      <c r="R24" s="818">
        <v>0</v>
      </c>
      <c r="S24" s="818">
        <f>'[19]Раз.пос.(Пр.3-26)     '!S24+'[19]Уточнение для Пр.5-26'!S24</f>
        <v>0</v>
      </c>
    </row>
    <row r="25" spans="1:19" x14ac:dyDescent="0.2">
      <c r="A25" s="160">
        <v>15</v>
      </c>
      <c r="B25" s="166" t="s">
        <v>78</v>
      </c>
      <c r="C25" s="49" t="s">
        <v>79</v>
      </c>
      <c r="D25" s="815">
        <f t="shared" si="5"/>
        <v>37188</v>
      </c>
      <c r="E25" s="818">
        <f t="shared" si="2"/>
        <v>0</v>
      </c>
      <c r="F25" s="818">
        <v>0</v>
      </c>
      <c r="G25" s="818">
        <v>0</v>
      </c>
      <c r="H25" s="818">
        <f t="shared" si="3"/>
        <v>35724</v>
      </c>
      <c r="I25" s="645">
        <v>0</v>
      </c>
      <c r="J25" s="818">
        <v>3905</v>
      </c>
      <c r="K25" s="818">
        <v>7165</v>
      </c>
      <c r="L25" s="818">
        <v>24654</v>
      </c>
      <c r="M25" s="818">
        <v>1025</v>
      </c>
      <c r="N25" s="818">
        <v>439</v>
      </c>
      <c r="O25" s="815">
        <f t="shared" si="4"/>
        <v>0</v>
      </c>
      <c r="P25" s="818">
        <v>0</v>
      </c>
      <c r="Q25" s="818">
        <v>0</v>
      </c>
      <c r="R25" s="818">
        <v>0</v>
      </c>
      <c r="S25" s="818">
        <f>'[19]Раз.пос.(Пр.3-26)     '!S25+'[19]Уточнение для Пр.5-26'!S25</f>
        <v>0</v>
      </c>
    </row>
    <row r="26" spans="1:19" x14ac:dyDescent="0.2">
      <c r="A26" s="160">
        <v>16</v>
      </c>
      <c r="B26" s="166" t="s">
        <v>80</v>
      </c>
      <c r="C26" s="49" t="s">
        <v>81</v>
      </c>
      <c r="D26" s="815">
        <f t="shared" si="5"/>
        <v>51194</v>
      </c>
      <c r="E26" s="818">
        <f t="shared" si="2"/>
        <v>0</v>
      </c>
      <c r="F26" s="818">
        <v>0</v>
      </c>
      <c r="G26" s="818">
        <v>0</v>
      </c>
      <c r="H26" s="818">
        <f t="shared" si="3"/>
        <v>51194</v>
      </c>
      <c r="I26" s="645">
        <v>0</v>
      </c>
      <c r="J26" s="818">
        <v>4200</v>
      </c>
      <c r="K26" s="818">
        <v>5195</v>
      </c>
      <c r="L26" s="818">
        <v>41799</v>
      </c>
      <c r="M26" s="818">
        <v>0</v>
      </c>
      <c r="N26" s="818">
        <v>0</v>
      </c>
      <c r="O26" s="815">
        <f t="shared" si="4"/>
        <v>0</v>
      </c>
      <c r="P26" s="818">
        <v>0</v>
      </c>
      <c r="Q26" s="818">
        <v>0</v>
      </c>
      <c r="R26" s="818">
        <v>0</v>
      </c>
      <c r="S26" s="818">
        <f>'[19]Раз.пос.(Пр.3-26)     '!S26+'[19]Уточнение для Пр.5-26'!S26</f>
        <v>0</v>
      </c>
    </row>
    <row r="27" spans="1:19" x14ac:dyDescent="0.2">
      <c r="A27" s="160">
        <v>17</v>
      </c>
      <c r="B27" s="166" t="s">
        <v>20</v>
      </c>
      <c r="C27" s="49" t="s">
        <v>21</v>
      </c>
      <c r="D27" s="815">
        <f t="shared" si="5"/>
        <v>71220</v>
      </c>
      <c r="E27" s="818">
        <f t="shared" si="2"/>
        <v>0</v>
      </c>
      <c r="F27" s="818">
        <v>0</v>
      </c>
      <c r="G27" s="818">
        <v>0</v>
      </c>
      <c r="H27" s="818">
        <f t="shared" si="3"/>
        <v>69756</v>
      </c>
      <c r="I27" s="645">
        <v>100</v>
      </c>
      <c r="J27" s="818">
        <v>4100</v>
      </c>
      <c r="K27" s="818">
        <v>7431</v>
      </c>
      <c r="L27" s="818">
        <v>58125</v>
      </c>
      <c r="M27" s="818">
        <v>1025</v>
      </c>
      <c r="N27" s="818">
        <v>439</v>
      </c>
      <c r="O27" s="815">
        <f t="shared" si="4"/>
        <v>0</v>
      </c>
      <c r="P27" s="818">
        <v>0</v>
      </c>
      <c r="Q27" s="818">
        <v>0</v>
      </c>
      <c r="R27" s="818">
        <v>0</v>
      </c>
      <c r="S27" s="818">
        <f>'[19]Раз.пос.(Пр.3-26)     '!S27+'[19]Уточнение для Пр.5-26'!S27</f>
        <v>0</v>
      </c>
    </row>
    <row r="28" spans="1:19" x14ac:dyDescent="0.2">
      <c r="A28" s="160">
        <v>18</v>
      </c>
      <c r="B28" s="48" t="s">
        <v>82</v>
      </c>
      <c r="C28" s="49" t="s">
        <v>83</v>
      </c>
      <c r="D28" s="815">
        <f t="shared" si="5"/>
        <v>18399</v>
      </c>
      <c r="E28" s="818">
        <f t="shared" si="2"/>
        <v>0</v>
      </c>
      <c r="F28" s="818">
        <v>0</v>
      </c>
      <c r="G28" s="818">
        <v>0</v>
      </c>
      <c r="H28" s="818">
        <f t="shared" si="3"/>
        <v>18399</v>
      </c>
      <c r="I28" s="645">
        <v>0</v>
      </c>
      <c r="J28" s="818">
        <v>2400</v>
      </c>
      <c r="K28" s="818">
        <v>300</v>
      </c>
      <c r="L28" s="818">
        <v>15699</v>
      </c>
      <c r="M28" s="818">
        <v>0</v>
      </c>
      <c r="N28" s="818">
        <v>0</v>
      </c>
      <c r="O28" s="815">
        <f t="shared" si="4"/>
        <v>0</v>
      </c>
      <c r="P28" s="818">
        <v>0</v>
      </c>
      <c r="Q28" s="818">
        <v>0</v>
      </c>
      <c r="R28" s="818">
        <v>0</v>
      </c>
      <c r="S28" s="818">
        <f>'[19]Раз.пос.(Пр.3-26)     '!S28+'[19]Уточнение для Пр.5-26'!S28</f>
        <v>0</v>
      </c>
    </row>
    <row r="29" spans="1:19" x14ac:dyDescent="0.2">
      <c r="A29" s="160">
        <v>19</v>
      </c>
      <c r="B29" s="48" t="s">
        <v>84</v>
      </c>
      <c r="C29" s="49" t="s">
        <v>85</v>
      </c>
      <c r="D29" s="815">
        <f t="shared" si="5"/>
        <v>9724</v>
      </c>
      <c r="E29" s="818">
        <f t="shared" si="2"/>
        <v>0</v>
      </c>
      <c r="F29" s="818">
        <v>0</v>
      </c>
      <c r="G29" s="818">
        <v>0</v>
      </c>
      <c r="H29" s="818">
        <f t="shared" si="3"/>
        <v>9724</v>
      </c>
      <c r="I29" s="645">
        <v>0</v>
      </c>
      <c r="J29" s="818">
        <v>468</v>
      </c>
      <c r="K29" s="818">
        <v>1143</v>
      </c>
      <c r="L29" s="818">
        <v>8113</v>
      </c>
      <c r="M29" s="818">
        <v>0</v>
      </c>
      <c r="N29" s="818">
        <v>0</v>
      </c>
      <c r="O29" s="815">
        <f t="shared" si="4"/>
        <v>0</v>
      </c>
      <c r="P29" s="818">
        <v>0</v>
      </c>
      <c r="Q29" s="818">
        <v>0</v>
      </c>
      <c r="R29" s="818">
        <v>0</v>
      </c>
      <c r="S29" s="818">
        <f>'[19]Раз.пос.(Пр.3-26)     '!S29+'[19]Уточнение для Пр.5-26'!S29</f>
        <v>0</v>
      </c>
    </row>
    <row r="30" spans="1:19" x14ac:dyDescent="0.2">
      <c r="A30" s="160">
        <v>20</v>
      </c>
      <c r="B30" s="48" t="s">
        <v>86</v>
      </c>
      <c r="C30" s="49" t="s">
        <v>87</v>
      </c>
      <c r="D30" s="815">
        <f t="shared" si="5"/>
        <v>60446</v>
      </c>
      <c r="E30" s="818">
        <f t="shared" si="2"/>
        <v>0</v>
      </c>
      <c r="F30" s="818">
        <v>0</v>
      </c>
      <c r="G30" s="818">
        <v>0</v>
      </c>
      <c r="H30" s="818">
        <f t="shared" si="3"/>
        <v>58982</v>
      </c>
      <c r="I30" s="645">
        <v>900</v>
      </c>
      <c r="J30" s="818">
        <v>4896</v>
      </c>
      <c r="K30" s="818">
        <v>6211</v>
      </c>
      <c r="L30" s="818">
        <v>46975</v>
      </c>
      <c r="M30" s="818">
        <v>1025</v>
      </c>
      <c r="N30" s="818">
        <v>439</v>
      </c>
      <c r="O30" s="815">
        <f t="shared" si="4"/>
        <v>0</v>
      </c>
      <c r="P30" s="818">
        <v>0</v>
      </c>
      <c r="Q30" s="818">
        <v>0</v>
      </c>
      <c r="R30" s="818">
        <v>0</v>
      </c>
      <c r="S30" s="818">
        <f>'[19]Раз.пос.(Пр.3-26)     '!S30+'[19]Уточнение для Пр.5-26'!S30</f>
        <v>0</v>
      </c>
    </row>
    <row r="31" spans="1:19" x14ac:dyDescent="0.2">
      <c r="A31" s="160">
        <v>21</v>
      </c>
      <c r="B31" s="48" t="s">
        <v>22</v>
      </c>
      <c r="C31" s="49" t="s">
        <v>23</v>
      </c>
      <c r="D31" s="815">
        <f t="shared" si="5"/>
        <v>72190</v>
      </c>
      <c r="E31" s="818">
        <f t="shared" si="2"/>
        <v>0</v>
      </c>
      <c r="F31" s="818">
        <v>0</v>
      </c>
      <c r="G31" s="818">
        <v>0</v>
      </c>
      <c r="H31" s="818">
        <f t="shared" si="3"/>
        <v>70148</v>
      </c>
      <c r="I31" s="645">
        <v>0</v>
      </c>
      <c r="J31" s="818">
        <v>5715</v>
      </c>
      <c r="K31" s="818">
        <v>5245</v>
      </c>
      <c r="L31" s="818">
        <v>59188</v>
      </c>
      <c r="M31" s="818">
        <v>1025</v>
      </c>
      <c r="N31" s="818">
        <v>439</v>
      </c>
      <c r="O31" s="815">
        <f t="shared" si="4"/>
        <v>578</v>
      </c>
      <c r="P31" s="818">
        <v>0</v>
      </c>
      <c r="Q31" s="818">
        <v>578</v>
      </c>
      <c r="R31" s="818">
        <v>0</v>
      </c>
      <c r="S31" s="818">
        <f>'[19]Раз.пос.(Пр.3-26)     '!S31+'[19]Уточнение для Пр.5-26'!S31</f>
        <v>0</v>
      </c>
    </row>
    <row r="32" spans="1:19" x14ac:dyDescent="0.2">
      <c r="A32" s="160">
        <v>22</v>
      </c>
      <c r="B32" s="166" t="s">
        <v>24</v>
      </c>
      <c r="C32" s="49" t="s">
        <v>25</v>
      </c>
      <c r="D32" s="815">
        <f t="shared" si="5"/>
        <v>17892</v>
      </c>
      <c r="E32" s="818">
        <f t="shared" si="2"/>
        <v>0</v>
      </c>
      <c r="F32" s="818">
        <v>0</v>
      </c>
      <c r="G32" s="818">
        <v>0</v>
      </c>
      <c r="H32" s="818">
        <f t="shared" si="3"/>
        <v>17892</v>
      </c>
      <c r="I32" s="645">
        <v>0</v>
      </c>
      <c r="J32" s="818">
        <v>2718</v>
      </c>
      <c r="K32" s="818">
        <v>2232</v>
      </c>
      <c r="L32" s="818">
        <v>12942</v>
      </c>
      <c r="M32" s="818">
        <v>0</v>
      </c>
      <c r="N32" s="818">
        <v>0</v>
      </c>
      <c r="O32" s="815">
        <f t="shared" si="4"/>
        <v>0</v>
      </c>
      <c r="P32" s="818">
        <v>0</v>
      </c>
      <c r="Q32" s="818">
        <v>0</v>
      </c>
      <c r="R32" s="818">
        <v>0</v>
      </c>
      <c r="S32" s="818">
        <f>'[19]Раз.пос.(Пр.3-26)     '!S32+'[19]Уточнение для Пр.5-26'!S32</f>
        <v>0</v>
      </c>
    </row>
    <row r="33" spans="1:19" x14ac:dyDescent="0.2">
      <c r="A33" s="160">
        <v>23</v>
      </c>
      <c r="B33" s="166" t="s">
        <v>88</v>
      </c>
      <c r="C33" s="49" t="s">
        <v>89</v>
      </c>
      <c r="D33" s="815">
        <f t="shared" si="5"/>
        <v>0</v>
      </c>
      <c r="E33" s="818">
        <f t="shared" si="2"/>
        <v>0</v>
      </c>
      <c r="F33" s="818">
        <v>0</v>
      </c>
      <c r="G33" s="818">
        <v>0</v>
      </c>
      <c r="H33" s="818">
        <f t="shared" si="3"/>
        <v>0</v>
      </c>
      <c r="I33" s="645">
        <v>0</v>
      </c>
      <c r="J33" s="818">
        <v>0</v>
      </c>
      <c r="K33" s="818">
        <v>0</v>
      </c>
      <c r="L33" s="818">
        <v>0</v>
      </c>
      <c r="M33" s="818">
        <v>0</v>
      </c>
      <c r="N33" s="818">
        <v>0</v>
      </c>
      <c r="O33" s="815">
        <v>0</v>
      </c>
      <c r="P33" s="818">
        <v>0</v>
      </c>
      <c r="Q33" s="818">
        <v>0</v>
      </c>
      <c r="R33" s="818">
        <v>0</v>
      </c>
      <c r="S33" s="818">
        <f>'[19]Раз.пос.(Пр.3-26)     '!S33+'[19]Уточнение для Пр.5-26'!S33</f>
        <v>0</v>
      </c>
    </row>
    <row r="34" spans="1:19" ht="24" x14ac:dyDescent="0.2">
      <c r="A34" s="160">
        <v>24</v>
      </c>
      <c r="B34" s="166" t="s">
        <v>90</v>
      </c>
      <c r="C34" s="49" t="s">
        <v>91</v>
      </c>
      <c r="D34" s="815">
        <f t="shared" si="5"/>
        <v>0</v>
      </c>
      <c r="E34" s="818">
        <f t="shared" si="2"/>
        <v>0</v>
      </c>
      <c r="F34" s="818">
        <v>0</v>
      </c>
      <c r="G34" s="818">
        <v>0</v>
      </c>
      <c r="H34" s="818">
        <f t="shared" si="3"/>
        <v>0</v>
      </c>
      <c r="I34" s="645">
        <v>0</v>
      </c>
      <c r="J34" s="818">
        <v>0</v>
      </c>
      <c r="K34" s="818">
        <v>0</v>
      </c>
      <c r="L34" s="818">
        <v>0</v>
      </c>
      <c r="M34" s="818">
        <v>0</v>
      </c>
      <c r="N34" s="818">
        <v>0</v>
      </c>
      <c r="O34" s="815">
        <v>0</v>
      </c>
      <c r="P34" s="818">
        <v>0</v>
      </c>
      <c r="Q34" s="818">
        <v>0</v>
      </c>
      <c r="R34" s="818">
        <v>0</v>
      </c>
      <c r="S34" s="818">
        <f>'[19]Раз.пос.(Пр.3-26)     '!S34+'[19]Уточнение для Пр.5-26'!S34</f>
        <v>0</v>
      </c>
    </row>
    <row r="35" spans="1:19" ht="24" x14ac:dyDescent="0.2">
      <c r="A35" s="933">
        <v>25</v>
      </c>
      <c r="B35" s="617" t="s">
        <v>92</v>
      </c>
      <c r="C35" s="56" t="s">
        <v>771</v>
      </c>
      <c r="D35" s="815">
        <f>E35+H35+M35+N35+O35+S35</f>
        <v>251587</v>
      </c>
      <c r="E35" s="818">
        <f t="shared" si="2"/>
        <v>0</v>
      </c>
      <c r="F35" s="818">
        <v>0</v>
      </c>
      <c r="G35" s="818">
        <v>0</v>
      </c>
      <c r="H35" s="818">
        <f t="shared" si="3"/>
        <v>234919</v>
      </c>
      <c r="I35" s="645">
        <v>0</v>
      </c>
      <c r="J35" s="818">
        <v>38800</v>
      </c>
      <c r="K35" s="818">
        <v>3209</v>
      </c>
      <c r="L35" s="818">
        <v>192910</v>
      </c>
      <c r="M35" s="818">
        <v>2050</v>
      </c>
      <c r="N35" s="818">
        <v>878</v>
      </c>
      <c r="O35" s="815">
        <f t="shared" si="4"/>
        <v>6968</v>
      </c>
      <c r="P35" s="818">
        <v>0</v>
      </c>
      <c r="Q35" s="818">
        <v>6968</v>
      </c>
      <c r="R35" s="818">
        <v>0</v>
      </c>
      <c r="S35" s="818">
        <f>'[19]Раз.пос.(Пр.3-26)     '!S35+'[19]Уточнение для Пр.5-26'!S35</f>
        <v>6772</v>
      </c>
    </row>
    <row r="36" spans="1:19" x14ac:dyDescent="0.2">
      <c r="A36" s="935"/>
      <c r="B36" s="166" t="s">
        <v>94</v>
      </c>
      <c r="C36" s="49" t="s">
        <v>95</v>
      </c>
      <c r="D36" s="815">
        <f>E36+H36+M36+N36+O36+S36</f>
        <v>16257</v>
      </c>
      <c r="E36" s="818">
        <f t="shared" si="2"/>
        <v>0</v>
      </c>
      <c r="F36" s="818">
        <v>0</v>
      </c>
      <c r="G36" s="818">
        <v>0</v>
      </c>
      <c r="H36" s="818">
        <f t="shared" si="3"/>
        <v>15921</v>
      </c>
      <c r="I36" s="645">
        <v>0</v>
      </c>
      <c r="J36" s="818">
        <v>105</v>
      </c>
      <c r="K36" s="818">
        <v>0</v>
      </c>
      <c r="L36" s="818">
        <v>15816</v>
      </c>
      <c r="M36" s="818">
        <v>0</v>
      </c>
      <c r="N36" s="818">
        <v>0</v>
      </c>
      <c r="O36" s="815">
        <f t="shared" si="4"/>
        <v>336</v>
      </c>
      <c r="P36" s="818">
        <v>0</v>
      </c>
      <c r="Q36" s="818">
        <v>336</v>
      </c>
      <c r="R36" s="818">
        <v>0</v>
      </c>
      <c r="S36" s="818">
        <f>'[19]Раз.пос.(Пр.3-26)     '!S36+'[19]Уточнение для Пр.5-26'!S36</f>
        <v>0</v>
      </c>
    </row>
    <row r="37" spans="1:19" x14ac:dyDescent="0.2">
      <c r="A37" s="160">
        <v>26</v>
      </c>
      <c r="B37" s="51" t="s">
        <v>96</v>
      </c>
      <c r="C37" s="49" t="s">
        <v>97</v>
      </c>
      <c r="D37" s="815">
        <f t="shared" si="5"/>
        <v>36967</v>
      </c>
      <c r="E37" s="818">
        <f t="shared" si="2"/>
        <v>0</v>
      </c>
      <c r="F37" s="818">
        <v>0</v>
      </c>
      <c r="G37" s="818">
        <v>0</v>
      </c>
      <c r="H37" s="818">
        <f t="shared" si="3"/>
        <v>36967</v>
      </c>
      <c r="I37" s="645">
        <v>2690</v>
      </c>
      <c r="J37" s="818">
        <v>0</v>
      </c>
      <c r="K37" s="818">
        <v>34277</v>
      </c>
      <c r="L37" s="818">
        <v>0</v>
      </c>
      <c r="M37" s="818">
        <v>0</v>
      </c>
      <c r="N37" s="818">
        <v>0</v>
      </c>
      <c r="O37" s="815">
        <f t="shared" si="4"/>
        <v>0</v>
      </c>
      <c r="P37" s="818">
        <v>0</v>
      </c>
      <c r="Q37" s="818">
        <v>0</v>
      </c>
      <c r="R37" s="818">
        <v>0</v>
      </c>
      <c r="S37" s="818">
        <f>'[19]Раз.пос.(Пр.3-26)     '!S37+'[19]Уточнение для Пр.5-26'!S37</f>
        <v>0</v>
      </c>
    </row>
    <row r="38" spans="1:19" x14ac:dyDescent="0.2">
      <c r="A38" s="160">
        <v>27</v>
      </c>
      <c r="B38" s="51" t="s">
        <v>26</v>
      </c>
      <c r="C38" s="49" t="s">
        <v>27</v>
      </c>
      <c r="D38" s="815">
        <f t="shared" si="5"/>
        <v>80413</v>
      </c>
      <c r="E38" s="818">
        <f t="shared" si="2"/>
        <v>0</v>
      </c>
      <c r="F38" s="818">
        <v>0</v>
      </c>
      <c r="G38" s="818">
        <v>0</v>
      </c>
      <c r="H38" s="818">
        <f t="shared" si="3"/>
        <v>78949</v>
      </c>
      <c r="I38" s="645">
        <v>600</v>
      </c>
      <c r="J38" s="818">
        <v>4800</v>
      </c>
      <c r="K38" s="818">
        <v>5830</v>
      </c>
      <c r="L38" s="818">
        <v>67719</v>
      </c>
      <c r="M38" s="818">
        <v>1025</v>
      </c>
      <c r="N38" s="818">
        <v>439</v>
      </c>
      <c r="O38" s="815">
        <f t="shared" si="4"/>
        <v>0</v>
      </c>
      <c r="P38" s="818">
        <v>0</v>
      </c>
      <c r="Q38" s="818">
        <v>0</v>
      </c>
      <c r="R38" s="818">
        <v>0</v>
      </c>
      <c r="S38" s="818">
        <f>'[19]Раз.пос.(Пр.3-26)     '!S38+'[19]Уточнение для Пр.5-26'!S38</f>
        <v>0</v>
      </c>
    </row>
    <row r="39" spans="1:19" x14ac:dyDescent="0.2">
      <c r="A39" s="160">
        <v>28</v>
      </c>
      <c r="B39" s="48" t="s">
        <v>98</v>
      </c>
      <c r="C39" s="49" t="s">
        <v>99</v>
      </c>
      <c r="D39" s="815">
        <f t="shared" si="5"/>
        <v>109587</v>
      </c>
      <c r="E39" s="818">
        <f t="shared" si="2"/>
        <v>0</v>
      </c>
      <c r="F39" s="818">
        <v>0</v>
      </c>
      <c r="G39" s="818">
        <v>0</v>
      </c>
      <c r="H39" s="818">
        <f t="shared" si="3"/>
        <v>107845</v>
      </c>
      <c r="I39" s="645">
        <v>500</v>
      </c>
      <c r="J39" s="818">
        <v>12000</v>
      </c>
      <c r="K39" s="818">
        <v>9952</v>
      </c>
      <c r="L39" s="818">
        <v>85393</v>
      </c>
      <c r="M39" s="818">
        <v>1025</v>
      </c>
      <c r="N39" s="818">
        <v>439</v>
      </c>
      <c r="O39" s="815">
        <f t="shared" si="4"/>
        <v>278</v>
      </c>
      <c r="P39" s="818">
        <v>0</v>
      </c>
      <c r="Q39" s="818">
        <v>278</v>
      </c>
      <c r="R39" s="818">
        <v>0</v>
      </c>
      <c r="S39" s="818">
        <f>'[19]Раз.пос.(Пр.3-26)     '!S39+'[19]Уточнение для Пр.5-26'!S39</f>
        <v>0</v>
      </c>
    </row>
    <row r="40" spans="1:19" x14ac:dyDescent="0.2">
      <c r="A40" s="160">
        <v>29</v>
      </c>
      <c r="B40" s="51" t="s">
        <v>100</v>
      </c>
      <c r="C40" s="49" t="s">
        <v>101</v>
      </c>
      <c r="D40" s="815">
        <f t="shared" si="5"/>
        <v>20382</v>
      </c>
      <c r="E40" s="818">
        <f t="shared" si="2"/>
        <v>0</v>
      </c>
      <c r="F40" s="818">
        <v>0</v>
      </c>
      <c r="G40" s="818">
        <v>0</v>
      </c>
      <c r="H40" s="818">
        <f t="shared" si="3"/>
        <v>20382</v>
      </c>
      <c r="I40" s="645">
        <v>0</v>
      </c>
      <c r="J40" s="818">
        <v>3715</v>
      </c>
      <c r="K40" s="818">
        <v>0</v>
      </c>
      <c r="L40" s="818">
        <v>16667</v>
      </c>
      <c r="M40" s="818">
        <v>0</v>
      </c>
      <c r="N40" s="818">
        <v>0</v>
      </c>
      <c r="O40" s="815">
        <f t="shared" si="4"/>
        <v>0</v>
      </c>
      <c r="P40" s="818">
        <v>0</v>
      </c>
      <c r="Q40" s="818">
        <v>0</v>
      </c>
      <c r="R40" s="818">
        <v>0</v>
      </c>
      <c r="S40" s="818">
        <f>'[19]Раз.пос.(Пр.3-26)     '!S40+'[19]Уточнение для Пр.5-26'!S40</f>
        <v>0</v>
      </c>
    </row>
    <row r="41" spans="1:19" x14ac:dyDescent="0.2">
      <c r="A41" s="160">
        <v>30</v>
      </c>
      <c r="B41" s="166" t="s">
        <v>102</v>
      </c>
      <c r="C41" s="49" t="s">
        <v>103</v>
      </c>
      <c r="D41" s="815">
        <f t="shared" si="5"/>
        <v>63163</v>
      </c>
      <c r="E41" s="818">
        <f t="shared" si="2"/>
        <v>0</v>
      </c>
      <c r="F41" s="818">
        <v>0</v>
      </c>
      <c r="G41" s="818">
        <v>0</v>
      </c>
      <c r="H41" s="818">
        <f t="shared" si="3"/>
        <v>61699</v>
      </c>
      <c r="I41" s="645">
        <v>860</v>
      </c>
      <c r="J41" s="818">
        <v>3900</v>
      </c>
      <c r="K41" s="818">
        <v>4238</v>
      </c>
      <c r="L41" s="818">
        <v>52701</v>
      </c>
      <c r="M41" s="818">
        <v>1025</v>
      </c>
      <c r="N41" s="818">
        <v>439</v>
      </c>
      <c r="O41" s="815">
        <f t="shared" si="4"/>
        <v>0</v>
      </c>
      <c r="P41" s="818">
        <v>0</v>
      </c>
      <c r="Q41" s="818">
        <v>0</v>
      </c>
      <c r="R41" s="818">
        <v>0</v>
      </c>
      <c r="S41" s="818">
        <f>'[19]Раз.пос.(Пр.3-26)     '!S41+'[19]Уточнение для Пр.5-26'!S41</f>
        <v>0</v>
      </c>
    </row>
    <row r="42" spans="1:19" x14ac:dyDescent="0.2">
      <c r="A42" s="160">
        <v>31</v>
      </c>
      <c r="B42" s="51" t="s">
        <v>104</v>
      </c>
      <c r="C42" s="49" t="s">
        <v>105</v>
      </c>
      <c r="D42" s="815">
        <f t="shared" si="5"/>
        <v>21746</v>
      </c>
      <c r="E42" s="818">
        <f t="shared" si="2"/>
        <v>0</v>
      </c>
      <c r="F42" s="818">
        <v>0</v>
      </c>
      <c r="G42" s="818">
        <v>0</v>
      </c>
      <c r="H42" s="818">
        <f t="shared" si="3"/>
        <v>21746</v>
      </c>
      <c r="I42" s="645">
        <v>0</v>
      </c>
      <c r="J42" s="818">
        <v>1450</v>
      </c>
      <c r="K42" s="818">
        <v>2454</v>
      </c>
      <c r="L42" s="818">
        <v>17842</v>
      </c>
      <c r="M42" s="818">
        <v>0</v>
      </c>
      <c r="N42" s="818">
        <v>0</v>
      </c>
      <c r="O42" s="815">
        <f t="shared" si="4"/>
        <v>0</v>
      </c>
      <c r="P42" s="818">
        <v>0</v>
      </c>
      <c r="Q42" s="818">
        <v>0</v>
      </c>
      <c r="R42" s="818">
        <v>0</v>
      </c>
      <c r="S42" s="818">
        <f>'[19]Раз.пос.(Пр.3-26)     '!S42+'[19]Уточнение для Пр.5-26'!S42</f>
        <v>0</v>
      </c>
    </row>
    <row r="43" spans="1:19" x14ac:dyDescent="0.2">
      <c r="A43" s="160">
        <v>32</v>
      </c>
      <c r="B43" s="48" t="s">
        <v>106</v>
      </c>
      <c r="C43" s="49" t="s">
        <v>107</v>
      </c>
      <c r="D43" s="815">
        <f t="shared" si="5"/>
        <v>87163</v>
      </c>
      <c r="E43" s="818">
        <f t="shared" si="2"/>
        <v>0</v>
      </c>
      <c r="F43" s="818">
        <v>0</v>
      </c>
      <c r="G43" s="818">
        <v>0</v>
      </c>
      <c r="H43" s="818">
        <f t="shared" si="3"/>
        <v>85699</v>
      </c>
      <c r="I43" s="645">
        <v>0</v>
      </c>
      <c r="J43" s="818">
        <v>5571</v>
      </c>
      <c r="K43" s="818">
        <v>6668</v>
      </c>
      <c r="L43" s="818">
        <v>73460</v>
      </c>
      <c r="M43" s="818">
        <v>1025</v>
      </c>
      <c r="N43" s="818">
        <v>439</v>
      </c>
      <c r="O43" s="815">
        <f t="shared" si="4"/>
        <v>0</v>
      </c>
      <c r="P43" s="818">
        <v>0</v>
      </c>
      <c r="Q43" s="818">
        <v>0</v>
      </c>
      <c r="R43" s="818">
        <v>0</v>
      </c>
      <c r="S43" s="818">
        <f>'[19]Раз.пос.(Пр.3-26)     '!S43+'[19]Уточнение для Пр.5-26'!S43</f>
        <v>0</v>
      </c>
    </row>
    <row r="44" spans="1:19" x14ac:dyDescent="0.2">
      <c r="A44" s="160">
        <v>33</v>
      </c>
      <c r="B44" s="161" t="s">
        <v>108</v>
      </c>
      <c r="C44" s="618" t="s">
        <v>109</v>
      </c>
      <c r="D44" s="815">
        <f t="shared" si="5"/>
        <v>18702</v>
      </c>
      <c r="E44" s="818">
        <f t="shared" si="2"/>
        <v>0</v>
      </c>
      <c r="F44" s="818">
        <v>0</v>
      </c>
      <c r="G44" s="818">
        <v>0</v>
      </c>
      <c r="H44" s="818">
        <f t="shared" si="3"/>
        <v>18702</v>
      </c>
      <c r="I44" s="645">
        <v>0</v>
      </c>
      <c r="J44" s="818">
        <v>2032</v>
      </c>
      <c r="K44" s="818">
        <v>1579</v>
      </c>
      <c r="L44" s="818">
        <v>15091</v>
      </c>
      <c r="M44" s="818">
        <v>0</v>
      </c>
      <c r="N44" s="818">
        <v>0</v>
      </c>
      <c r="O44" s="815">
        <f t="shared" si="4"/>
        <v>0</v>
      </c>
      <c r="P44" s="818">
        <v>0</v>
      </c>
      <c r="Q44" s="818">
        <v>0</v>
      </c>
      <c r="R44" s="818">
        <v>0</v>
      </c>
      <c r="S44" s="818">
        <f>'[19]Раз.пос.(Пр.3-26)     '!S44+'[19]Уточнение для Пр.5-26'!S44</f>
        <v>0</v>
      </c>
    </row>
    <row r="45" spans="1:19" x14ac:dyDescent="0.2">
      <c r="A45" s="160">
        <v>34</v>
      </c>
      <c r="B45" s="48" t="s">
        <v>110</v>
      </c>
      <c r="C45" s="49" t="s">
        <v>111</v>
      </c>
      <c r="D45" s="815">
        <f t="shared" si="5"/>
        <v>15361</v>
      </c>
      <c r="E45" s="818">
        <f t="shared" si="2"/>
        <v>0</v>
      </c>
      <c r="F45" s="818">
        <v>0</v>
      </c>
      <c r="G45" s="818">
        <v>0</v>
      </c>
      <c r="H45" s="818">
        <f t="shared" si="3"/>
        <v>15361</v>
      </c>
      <c r="I45" s="645">
        <v>0</v>
      </c>
      <c r="J45" s="818">
        <v>985</v>
      </c>
      <c r="K45" s="818">
        <v>15</v>
      </c>
      <c r="L45" s="818">
        <v>14361</v>
      </c>
      <c r="M45" s="818">
        <v>0</v>
      </c>
      <c r="N45" s="818">
        <v>0</v>
      </c>
      <c r="O45" s="815">
        <f t="shared" si="4"/>
        <v>0</v>
      </c>
      <c r="P45" s="818">
        <v>0</v>
      </c>
      <c r="Q45" s="818">
        <v>0</v>
      </c>
      <c r="R45" s="818">
        <v>0</v>
      </c>
      <c r="S45" s="818">
        <f>'[19]Раз.пос.(Пр.3-26)     '!S45+'[19]Уточнение для Пр.5-26'!S45</f>
        <v>0</v>
      </c>
    </row>
    <row r="46" spans="1:19" x14ac:dyDescent="0.2">
      <c r="A46" s="160">
        <v>35</v>
      </c>
      <c r="B46" s="48" t="s">
        <v>112</v>
      </c>
      <c r="C46" s="49" t="s">
        <v>113</v>
      </c>
      <c r="D46" s="815">
        <f t="shared" si="5"/>
        <v>21135</v>
      </c>
      <c r="E46" s="818">
        <f t="shared" si="2"/>
        <v>0</v>
      </c>
      <c r="F46" s="818">
        <v>0</v>
      </c>
      <c r="G46" s="818">
        <v>0</v>
      </c>
      <c r="H46" s="818">
        <f t="shared" si="3"/>
        <v>19671</v>
      </c>
      <c r="I46" s="645">
        <v>0</v>
      </c>
      <c r="J46" s="818">
        <v>1405</v>
      </c>
      <c r="K46" s="818">
        <v>3795</v>
      </c>
      <c r="L46" s="818">
        <v>14471</v>
      </c>
      <c r="M46" s="818">
        <v>1025</v>
      </c>
      <c r="N46" s="818">
        <v>439</v>
      </c>
      <c r="O46" s="815">
        <f t="shared" si="4"/>
        <v>0</v>
      </c>
      <c r="P46" s="818">
        <v>0</v>
      </c>
      <c r="Q46" s="818">
        <v>0</v>
      </c>
      <c r="R46" s="818">
        <v>0</v>
      </c>
      <c r="S46" s="818">
        <f>'[19]Раз.пос.(Пр.3-26)     '!S46+'[19]Уточнение для Пр.5-26'!S46</f>
        <v>0</v>
      </c>
    </row>
    <row r="47" spans="1:19" x14ac:dyDescent="0.2">
      <c r="A47" s="160">
        <v>36</v>
      </c>
      <c r="B47" s="166" t="s">
        <v>114</v>
      </c>
      <c r="C47" s="49" t="s">
        <v>115</v>
      </c>
      <c r="D47" s="815">
        <f t="shared" si="5"/>
        <v>8705</v>
      </c>
      <c r="E47" s="818">
        <f t="shared" si="2"/>
        <v>0</v>
      </c>
      <c r="F47" s="818">
        <v>0</v>
      </c>
      <c r="G47" s="818">
        <v>0</v>
      </c>
      <c r="H47" s="818">
        <f t="shared" si="3"/>
        <v>8705</v>
      </c>
      <c r="I47" s="645">
        <v>0</v>
      </c>
      <c r="J47" s="818">
        <v>1292</v>
      </c>
      <c r="K47" s="818">
        <v>505</v>
      </c>
      <c r="L47" s="818">
        <v>6908</v>
      </c>
      <c r="M47" s="818">
        <v>0</v>
      </c>
      <c r="N47" s="818">
        <v>0</v>
      </c>
      <c r="O47" s="815">
        <f t="shared" si="4"/>
        <v>0</v>
      </c>
      <c r="P47" s="818">
        <v>0</v>
      </c>
      <c r="Q47" s="818">
        <v>0</v>
      </c>
      <c r="R47" s="818">
        <v>0</v>
      </c>
      <c r="S47" s="818">
        <f>'[19]Раз.пос.(Пр.3-26)     '!S47+'[19]Уточнение для Пр.5-26'!S47</f>
        <v>0</v>
      </c>
    </row>
    <row r="48" spans="1:19" x14ac:dyDescent="0.2">
      <c r="A48" s="160">
        <v>37</v>
      </c>
      <c r="B48" s="51" t="s">
        <v>116</v>
      </c>
      <c r="C48" s="49" t="s">
        <v>117</v>
      </c>
      <c r="D48" s="815">
        <f t="shared" si="5"/>
        <v>15116</v>
      </c>
      <c r="E48" s="818">
        <f t="shared" si="2"/>
        <v>0</v>
      </c>
      <c r="F48" s="818">
        <v>0</v>
      </c>
      <c r="G48" s="818">
        <v>0</v>
      </c>
      <c r="H48" s="818">
        <f t="shared" si="3"/>
        <v>15116</v>
      </c>
      <c r="I48" s="645">
        <v>0</v>
      </c>
      <c r="J48" s="818">
        <v>388</v>
      </c>
      <c r="K48" s="818">
        <v>98</v>
      </c>
      <c r="L48" s="818">
        <v>14630</v>
      </c>
      <c r="M48" s="818">
        <v>0</v>
      </c>
      <c r="N48" s="818">
        <v>0</v>
      </c>
      <c r="O48" s="815">
        <f t="shared" si="4"/>
        <v>0</v>
      </c>
      <c r="P48" s="818">
        <v>0</v>
      </c>
      <c r="Q48" s="818">
        <v>0</v>
      </c>
      <c r="R48" s="818">
        <v>0</v>
      </c>
      <c r="S48" s="818">
        <f>'[19]Раз.пос.(Пр.3-26)     '!S48+'[19]Уточнение для Пр.5-26'!S48</f>
        <v>0</v>
      </c>
    </row>
    <row r="49" spans="1:19" x14ac:dyDescent="0.2">
      <c r="A49" s="160">
        <v>38</v>
      </c>
      <c r="B49" s="166" t="s">
        <v>28</v>
      </c>
      <c r="C49" s="49" t="s">
        <v>29</v>
      </c>
      <c r="D49" s="815">
        <f t="shared" si="5"/>
        <v>119728</v>
      </c>
      <c r="E49" s="818">
        <f t="shared" si="2"/>
        <v>0</v>
      </c>
      <c r="F49" s="818">
        <v>0</v>
      </c>
      <c r="G49" s="818">
        <v>0</v>
      </c>
      <c r="H49" s="818">
        <f t="shared" si="3"/>
        <v>114925</v>
      </c>
      <c r="I49" s="645">
        <v>0</v>
      </c>
      <c r="J49" s="818">
        <v>10837</v>
      </c>
      <c r="K49" s="818">
        <v>4262</v>
      </c>
      <c r="L49" s="818">
        <v>99826</v>
      </c>
      <c r="M49" s="818">
        <v>2050</v>
      </c>
      <c r="N49" s="818">
        <v>878</v>
      </c>
      <c r="O49" s="815">
        <f t="shared" si="4"/>
        <v>1875</v>
      </c>
      <c r="P49" s="818">
        <v>0</v>
      </c>
      <c r="Q49" s="818">
        <v>1875</v>
      </c>
      <c r="R49" s="818">
        <v>0</v>
      </c>
      <c r="S49" s="818">
        <f>'[19]Раз.пос.(Пр.3-26)     '!S49+'[19]Уточнение для Пр.5-26'!S49</f>
        <v>0</v>
      </c>
    </row>
    <row r="50" spans="1:19" x14ac:dyDescent="0.2">
      <c r="A50" s="160">
        <v>39</v>
      </c>
      <c r="B50" s="48" t="s">
        <v>118</v>
      </c>
      <c r="C50" s="49" t="s">
        <v>119</v>
      </c>
      <c r="D50" s="815">
        <f t="shared" si="5"/>
        <v>18495</v>
      </c>
      <c r="E50" s="818">
        <f t="shared" si="2"/>
        <v>0</v>
      </c>
      <c r="F50" s="818">
        <v>0</v>
      </c>
      <c r="G50" s="818">
        <v>0</v>
      </c>
      <c r="H50" s="818">
        <f t="shared" si="3"/>
        <v>18495</v>
      </c>
      <c r="I50" s="645">
        <v>0</v>
      </c>
      <c r="J50" s="818">
        <v>1656</v>
      </c>
      <c r="K50" s="818">
        <v>3195</v>
      </c>
      <c r="L50" s="818">
        <v>13644</v>
      </c>
      <c r="M50" s="818">
        <v>0</v>
      </c>
      <c r="N50" s="818">
        <v>0</v>
      </c>
      <c r="O50" s="815">
        <f t="shared" si="4"/>
        <v>0</v>
      </c>
      <c r="P50" s="818">
        <v>0</v>
      </c>
      <c r="Q50" s="818">
        <v>0</v>
      </c>
      <c r="R50" s="818">
        <v>0</v>
      </c>
      <c r="S50" s="818">
        <f>'[19]Раз.пос.(Пр.3-26)     '!S50+'[19]Уточнение для Пр.5-26'!S50</f>
        <v>0</v>
      </c>
    </row>
    <row r="51" spans="1:19" x14ac:dyDescent="0.2">
      <c r="A51" s="160">
        <v>40</v>
      </c>
      <c r="B51" s="48" t="s">
        <v>120</v>
      </c>
      <c r="C51" s="49" t="s">
        <v>121</v>
      </c>
      <c r="D51" s="815">
        <f t="shared" si="5"/>
        <v>110914</v>
      </c>
      <c r="E51" s="818">
        <f t="shared" si="2"/>
        <v>0</v>
      </c>
      <c r="F51" s="818">
        <v>0</v>
      </c>
      <c r="G51" s="818">
        <v>0</v>
      </c>
      <c r="H51" s="818">
        <f t="shared" si="3"/>
        <v>109450</v>
      </c>
      <c r="I51" s="645">
        <v>0</v>
      </c>
      <c r="J51" s="818">
        <v>2300</v>
      </c>
      <c r="K51" s="818">
        <v>13381</v>
      </c>
      <c r="L51" s="818">
        <v>93769</v>
      </c>
      <c r="M51" s="818">
        <v>1025</v>
      </c>
      <c r="N51" s="818">
        <v>439</v>
      </c>
      <c r="O51" s="815">
        <f t="shared" si="4"/>
        <v>0</v>
      </c>
      <c r="P51" s="818">
        <v>0</v>
      </c>
      <c r="Q51" s="818">
        <v>0</v>
      </c>
      <c r="R51" s="818">
        <v>0</v>
      </c>
      <c r="S51" s="818">
        <f>'[19]Раз.пос.(Пр.3-26)     '!S51+'[19]Уточнение для Пр.5-26'!S51</f>
        <v>0</v>
      </c>
    </row>
    <row r="52" spans="1:19" x14ac:dyDescent="0.2">
      <c r="A52" s="160">
        <v>41</v>
      </c>
      <c r="B52" s="166" t="s">
        <v>122</v>
      </c>
      <c r="C52" s="49" t="s">
        <v>123</v>
      </c>
      <c r="D52" s="815">
        <f t="shared" si="5"/>
        <v>13460</v>
      </c>
      <c r="E52" s="818">
        <f t="shared" si="2"/>
        <v>0</v>
      </c>
      <c r="F52" s="818">
        <v>0</v>
      </c>
      <c r="G52" s="818">
        <v>0</v>
      </c>
      <c r="H52" s="818">
        <f t="shared" si="3"/>
        <v>13460</v>
      </c>
      <c r="I52" s="645">
        <v>0</v>
      </c>
      <c r="J52" s="818">
        <v>732</v>
      </c>
      <c r="K52" s="818">
        <v>1364</v>
      </c>
      <c r="L52" s="818">
        <v>11364</v>
      </c>
      <c r="M52" s="818">
        <v>0</v>
      </c>
      <c r="N52" s="818">
        <v>0</v>
      </c>
      <c r="O52" s="815">
        <f t="shared" si="4"/>
        <v>0</v>
      </c>
      <c r="P52" s="818">
        <v>0</v>
      </c>
      <c r="Q52" s="818">
        <v>0</v>
      </c>
      <c r="R52" s="818">
        <v>0</v>
      </c>
      <c r="S52" s="818">
        <f>'[19]Раз.пос.(Пр.3-26)     '!S52+'[19]Уточнение для Пр.5-26'!S52</f>
        <v>0</v>
      </c>
    </row>
    <row r="53" spans="1:19" x14ac:dyDescent="0.2">
      <c r="A53" s="160">
        <v>42</v>
      </c>
      <c r="B53" s="51" t="s">
        <v>124</v>
      </c>
      <c r="C53" s="49" t="s">
        <v>125</v>
      </c>
      <c r="D53" s="815">
        <f t="shared" si="5"/>
        <v>28404</v>
      </c>
      <c r="E53" s="818">
        <f t="shared" si="2"/>
        <v>0</v>
      </c>
      <c r="F53" s="818">
        <v>0</v>
      </c>
      <c r="G53" s="818">
        <v>0</v>
      </c>
      <c r="H53" s="818">
        <f t="shared" si="3"/>
        <v>26940</v>
      </c>
      <c r="I53" s="645">
        <v>0</v>
      </c>
      <c r="J53" s="818">
        <v>4658</v>
      </c>
      <c r="K53" s="818">
        <v>1985</v>
      </c>
      <c r="L53" s="818">
        <v>20297</v>
      </c>
      <c r="M53" s="818">
        <v>1025</v>
      </c>
      <c r="N53" s="818">
        <v>439</v>
      </c>
      <c r="O53" s="815">
        <f t="shared" si="4"/>
        <v>0</v>
      </c>
      <c r="P53" s="818">
        <v>0</v>
      </c>
      <c r="Q53" s="818">
        <v>0</v>
      </c>
      <c r="R53" s="818">
        <v>0</v>
      </c>
      <c r="S53" s="818">
        <f>'[19]Раз.пос.(Пр.3-26)     '!S53+'[19]Уточнение для Пр.5-26'!S53</f>
        <v>0</v>
      </c>
    </row>
    <row r="54" spans="1:19" x14ac:dyDescent="0.2">
      <c r="A54" s="160">
        <v>43</v>
      </c>
      <c r="B54" s="166" t="s">
        <v>126</v>
      </c>
      <c r="C54" s="49" t="s">
        <v>127</v>
      </c>
      <c r="D54" s="815">
        <f t="shared" si="5"/>
        <v>27434</v>
      </c>
      <c r="E54" s="818">
        <f t="shared" si="2"/>
        <v>0</v>
      </c>
      <c r="F54" s="818">
        <v>0</v>
      </c>
      <c r="G54" s="818">
        <v>0</v>
      </c>
      <c r="H54" s="818">
        <f t="shared" si="3"/>
        <v>25970</v>
      </c>
      <c r="I54" s="645">
        <v>0</v>
      </c>
      <c r="J54" s="818">
        <v>435</v>
      </c>
      <c r="K54" s="818">
        <v>1236</v>
      </c>
      <c r="L54" s="818">
        <v>24299</v>
      </c>
      <c r="M54" s="818">
        <v>1025</v>
      </c>
      <c r="N54" s="818">
        <v>439</v>
      </c>
      <c r="O54" s="815">
        <f t="shared" si="4"/>
        <v>0</v>
      </c>
      <c r="P54" s="818">
        <v>0</v>
      </c>
      <c r="Q54" s="818">
        <v>0</v>
      </c>
      <c r="R54" s="818">
        <v>0</v>
      </c>
      <c r="S54" s="818">
        <f>'[19]Раз.пос.(Пр.3-26)     '!S54+'[19]Уточнение для Пр.5-26'!S54</f>
        <v>0</v>
      </c>
    </row>
    <row r="55" spans="1:19" x14ac:dyDescent="0.2">
      <c r="A55" s="160">
        <v>44</v>
      </c>
      <c r="B55" s="51" t="s">
        <v>128</v>
      </c>
      <c r="C55" s="49" t="s">
        <v>129</v>
      </c>
      <c r="D55" s="815">
        <f t="shared" si="5"/>
        <v>36351</v>
      </c>
      <c r="E55" s="818">
        <f t="shared" si="2"/>
        <v>0</v>
      </c>
      <c r="F55" s="818">
        <v>0</v>
      </c>
      <c r="G55" s="818">
        <v>0</v>
      </c>
      <c r="H55" s="818">
        <f t="shared" si="3"/>
        <v>34887</v>
      </c>
      <c r="I55" s="645">
        <v>0</v>
      </c>
      <c r="J55" s="818">
        <v>2761</v>
      </c>
      <c r="K55" s="818">
        <v>836</v>
      </c>
      <c r="L55" s="818">
        <v>31290</v>
      </c>
      <c r="M55" s="818">
        <v>1025</v>
      </c>
      <c r="N55" s="818">
        <v>439</v>
      </c>
      <c r="O55" s="815">
        <f t="shared" si="4"/>
        <v>0</v>
      </c>
      <c r="P55" s="818">
        <v>0</v>
      </c>
      <c r="Q55" s="818">
        <v>0</v>
      </c>
      <c r="R55" s="818">
        <v>0</v>
      </c>
      <c r="S55" s="818">
        <f>'[19]Раз.пос.(Пр.3-26)     '!S55+'[19]Уточнение для Пр.5-26'!S55</f>
        <v>0</v>
      </c>
    </row>
    <row r="56" spans="1:19" x14ac:dyDescent="0.2">
      <c r="A56" s="160">
        <v>45</v>
      </c>
      <c r="B56" s="166" t="s">
        <v>130</v>
      </c>
      <c r="C56" s="49" t="s">
        <v>131</v>
      </c>
      <c r="D56" s="815">
        <f t="shared" si="5"/>
        <v>6763</v>
      </c>
      <c r="E56" s="818">
        <f t="shared" si="2"/>
        <v>0</v>
      </c>
      <c r="F56" s="818">
        <v>0</v>
      </c>
      <c r="G56" s="818">
        <v>0</v>
      </c>
      <c r="H56" s="818">
        <f t="shared" si="3"/>
        <v>6763</v>
      </c>
      <c r="I56" s="645">
        <v>0</v>
      </c>
      <c r="J56" s="818">
        <v>422</v>
      </c>
      <c r="K56" s="818">
        <v>2269</v>
      </c>
      <c r="L56" s="818">
        <v>4072</v>
      </c>
      <c r="M56" s="818">
        <v>0</v>
      </c>
      <c r="N56" s="818">
        <v>0</v>
      </c>
      <c r="O56" s="815">
        <f t="shared" si="4"/>
        <v>0</v>
      </c>
      <c r="P56" s="818">
        <v>0</v>
      </c>
      <c r="Q56" s="818">
        <v>0</v>
      </c>
      <c r="R56" s="818">
        <v>0</v>
      </c>
      <c r="S56" s="818">
        <f>'[19]Раз.пос.(Пр.3-26)     '!S56+'[19]Уточнение для Пр.5-26'!S56</f>
        <v>0</v>
      </c>
    </row>
    <row r="57" spans="1:19" x14ac:dyDescent="0.2">
      <c r="A57" s="160">
        <v>46</v>
      </c>
      <c r="B57" s="51" t="s">
        <v>132</v>
      </c>
      <c r="C57" s="49" t="s">
        <v>133</v>
      </c>
      <c r="D57" s="815">
        <f t="shared" si="5"/>
        <v>13761</v>
      </c>
      <c r="E57" s="818">
        <f t="shared" si="2"/>
        <v>0</v>
      </c>
      <c r="F57" s="818">
        <v>0</v>
      </c>
      <c r="G57" s="818">
        <v>0</v>
      </c>
      <c r="H57" s="818">
        <f t="shared" si="3"/>
        <v>12297</v>
      </c>
      <c r="I57" s="645">
        <v>0</v>
      </c>
      <c r="J57" s="818">
        <v>1857</v>
      </c>
      <c r="K57" s="818">
        <v>0</v>
      </c>
      <c r="L57" s="818">
        <v>10440</v>
      </c>
      <c r="M57" s="818">
        <v>1025</v>
      </c>
      <c r="N57" s="818">
        <v>439</v>
      </c>
      <c r="O57" s="815">
        <f t="shared" si="4"/>
        <v>0</v>
      </c>
      <c r="P57" s="818">
        <v>0</v>
      </c>
      <c r="Q57" s="818">
        <v>0</v>
      </c>
      <c r="R57" s="818">
        <v>0</v>
      </c>
      <c r="S57" s="818">
        <f>'[19]Раз.пос.(Пр.3-26)     '!S57+'[19]Уточнение для Пр.5-26'!S57</f>
        <v>0</v>
      </c>
    </row>
    <row r="58" spans="1:19" x14ac:dyDescent="0.2">
      <c r="A58" s="160">
        <v>47</v>
      </c>
      <c r="B58" s="166" t="s">
        <v>134</v>
      </c>
      <c r="C58" s="49" t="s">
        <v>135</v>
      </c>
      <c r="D58" s="815">
        <f t="shared" si="5"/>
        <v>21701</v>
      </c>
      <c r="E58" s="818">
        <f t="shared" si="2"/>
        <v>0</v>
      </c>
      <c r="F58" s="818">
        <v>0</v>
      </c>
      <c r="G58" s="818">
        <v>0</v>
      </c>
      <c r="H58" s="818">
        <f t="shared" si="3"/>
        <v>21701</v>
      </c>
      <c r="I58" s="645">
        <v>0</v>
      </c>
      <c r="J58" s="818">
        <v>300</v>
      </c>
      <c r="K58" s="818">
        <v>2822</v>
      </c>
      <c r="L58" s="818">
        <v>18579</v>
      </c>
      <c r="M58" s="818">
        <v>0</v>
      </c>
      <c r="N58" s="818">
        <v>0</v>
      </c>
      <c r="O58" s="815">
        <f t="shared" si="4"/>
        <v>0</v>
      </c>
      <c r="P58" s="818">
        <v>0</v>
      </c>
      <c r="Q58" s="818">
        <v>0</v>
      </c>
      <c r="R58" s="818">
        <v>0</v>
      </c>
      <c r="S58" s="818">
        <f>'[19]Раз.пос.(Пр.3-26)     '!S58+'[19]Уточнение для Пр.5-26'!S58</f>
        <v>0</v>
      </c>
    </row>
    <row r="59" spans="1:19" x14ac:dyDescent="0.2">
      <c r="A59" s="160">
        <v>48</v>
      </c>
      <c r="B59" s="166" t="s">
        <v>136</v>
      </c>
      <c r="C59" s="49" t="s">
        <v>137</v>
      </c>
      <c r="D59" s="815">
        <f t="shared" si="5"/>
        <v>118031</v>
      </c>
      <c r="E59" s="818">
        <f t="shared" si="2"/>
        <v>0</v>
      </c>
      <c r="F59" s="818">
        <v>0</v>
      </c>
      <c r="G59" s="818">
        <v>0</v>
      </c>
      <c r="H59" s="818">
        <f t="shared" si="3"/>
        <v>115701</v>
      </c>
      <c r="I59" s="645">
        <v>0</v>
      </c>
      <c r="J59" s="818">
        <v>12285</v>
      </c>
      <c r="K59" s="818">
        <v>15091</v>
      </c>
      <c r="L59" s="818">
        <v>88325</v>
      </c>
      <c r="M59" s="818">
        <v>1025</v>
      </c>
      <c r="N59" s="818">
        <v>439</v>
      </c>
      <c r="O59" s="815">
        <f t="shared" si="4"/>
        <v>866</v>
      </c>
      <c r="P59" s="818">
        <v>0</v>
      </c>
      <c r="Q59" s="818">
        <v>866</v>
      </c>
      <c r="R59" s="818">
        <v>0</v>
      </c>
      <c r="S59" s="818">
        <f>'[19]Раз.пос.(Пр.3-26)     '!S59+'[19]Уточнение для Пр.5-26'!S59</f>
        <v>0</v>
      </c>
    </row>
    <row r="60" spans="1:19" x14ac:dyDescent="0.2">
      <c r="A60" s="160">
        <v>49</v>
      </c>
      <c r="B60" s="166" t="s">
        <v>138</v>
      </c>
      <c r="C60" s="49" t="s">
        <v>139</v>
      </c>
      <c r="D60" s="815">
        <f t="shared" si="5"/>
        <v>21604</v>
      </c>
      <c r="E60" s="818">
        <f t="shared" si="2"/>
        <v>0</v>
      </c>
      <c r="F60" s="818">
        <v>0</v>
      </c>
      <c r="G60" s="818">
        <v>0</v>
      </c>
      <c r="H60" s="818">
        <f t="shared" si="3"/>
        <v>21604</v>
      </c>
      <c r="I60" s="645">
        <v>0</v>
      </c>
      <c r="J60" s="818">
        <v>3040</v>
      </c>
      <c r="K60" s="818">
        <v>2264</v>
      </c>
      <c r="L60" s="818">
        <v>16300</v>
      </c>
      <c r="M60" s="818">
        <v>0</v>
      </c>
      <c r="N60" s="818">
        <v>0</v>
      </c>
      <c r="O60" s="815">
        <f t="shared" si="4"/>
        <v>0</v>
      </c>
      <c r="P60" s="818">
        <v>0</v>
      </c>
      <c r="Q60" s="818">
        <v>0</v>
      </c>
      <c r="R60" s="818">
        <v>0</v>
      </c>
      <c r="S60" s="818">
        <f>'[19]Раз.пос.(Пр.3-26)     '!S60+'[19]Уточнение для Пр.5-26'!S60</f>
        <v>0</v>
      </c>
    </row>
    <row r="61" spans="1:19" x14ac:dyDescent="0.2">
      <c r="A61" s="160">
        <v>50</v>
      </c>
      <c r="B61" s="166" t="s">
        <v>140</v>
      </c>
      <c r="C61" s="49" t="s">
        <v>141</v>
      </c>
      <c r="D61" s="815">
        <f t="shared" si="5"/>
        <v>11636</v>
      </c>
      <c r="E61" s="818">
        <f t="shared" si="2"/>
        <v>0</v>
      </c>
      <c r="F61" s="818">
        <v>0</v>
      </c>
      <c r="G61" s="818">
        <v>0</v>
      </c>
      <c r="H61" s="818">
        <f t="shared" si="3"/>
        <v>10172</v>
      </c>
      <c r="I61" s="645">
        <v>0</v>
      </c>
      <c r="J61" s="818">
        <v>468</v>
      </c>
      <c r="K61" s="818">
        <v>1424</v>
      </c>
      <c r="L61" s="818">
        <v>8280</v>
      </c>
      <c r="M61" s="818">
        <v>1025</v>
      </c>
      <c r="N61" s="818">
        <v>439</v>
      </c>
      <c r="O61" s="815">
        <f t="shared" si="4"/>
        <v>0</v>
      </c>
      <c r="P61" s="818">
        <v>0</v>
      </c>
      <c r="Q61" s="818">
        <v>0</v>
      </c>
      <c r="R61" s="818">
        <v>0</v>
      </c>
      <c r="S61" s="818">
        <f>'[19]Раз.пос.(Пр.3-26)     '!S61+'[19]Уточнение для Пр.5-26'!S61</f>
        <v>0</v>
      </c>
    </row>
    <row r="62" spans="1:19" x14ac:dyDescent="0.2">
      <c r="A62" s="160">
        <v>51</v>
      </c>
      <c r="B62" s="51" t="s">
        <v>142</v>
      </c>
      <c r="C62" s="49" t="s">
        <v>143</v>
      </c>
      <c r="D62" s="815">
        <f t="shared" si="5"/>
        <v>20711</v>
      </c>
      <c r="E62" s="818">
        <f t="shared" si="2"/>
        <v>0</v>
      </c>
      <c r="F62" s="818">
        <v>0</v>
      </c>
      <c r="G62" s="818">
        <v>0</v>
      </c>
      <c r="H62" s="818">
        <f t="shared" si="3"/>
        <v>20711</v>
      </c>
      <c r="I62" s="645">
        <v>0</v>
      </c>
      <c r="J62" s="818">
        <v>1500</v>
      </c>
      <c r="K62" s="818">
        <v>1451</v>
      </c>
      <c r="L62" s="818">
        <v>17760</v>
      </c>
      <c r="M62" s="818">
        <v>0</v>
      </c>
      <c r="N62" s="818">
        <v>0</v>
      </c>
      <c r="O62" s="815">
        <f t="shared" si="4"/>
        <v>0</v>
      </c>
      <c r="P62" s="818">
        <v>0</v>
      </c>
      <c r="Q62" s="818">
        <v>0</v>
      </c>
      <c r="R62" s="818">
        <v>0</v>
      </c>
      <c r="S62" s="818">
        <f>'[19]Раз.пос.(Пр.3-26)     '!S62+'[19]Уточнение для Пр.5-26'!S62</f>
        <v>0</v>
      </c>
    </row>
    <row r="63" spans="1:19" x14ac:dyDescent="0.2">
      <c r="A63" s="160">
        <v>52</v>
      </c>
      <c r="B63" s="166" t="s">
        <v>144</v>
      </c>
      <c r="C63" s="49" t="s">
        <v>145</v>
      </c>
      <c r="D63" s="815">
        <f t="shared" si="5"/>
        <v>0</v>
      </c>
      <c r="E63" s="818">
        <f t="shared" si="2"/>
        <v>0</v>
      </c>
      <c r="F63" s="818">
        <v>0</v>
      </c>
      <c r="G63" s="818">
        <v>0</v>
      </c>
      <c r="H63" s="818">
        <f t="shared" si="3"/>
        <v>0</v>
      </c>
      <c r="I63" s="645">
        <v>0</v>
      </c>
      <c r="J63" s="818">
        <v>0</v>
      </c>
      <c r="K63" s="818">
        <v>0</v>
      </c>
      <c r="L63" s="818">
        <v>0</v>
      </c>
      <c r="M63" s="818">
        <v>0</v>
      </c>
      <c r="N63" s="818">
        <v>0</v>
      </c>
      <c r="O63" s="815">
        <v>0</v>
      </c>
      <c r="P63" s="818">
        <v>0</v>
      </c>
      <c r="Q63" s="818">
        <v>0</v>
      </c>
      <c r="R63" s="818">
        <v>0</v>
      </c>
      <c r="S63" s="818">
        <f>'[19]Раз.пос.(Пр.3-26)     '!S63+'[19]Уточнение для Пр.5-26'!S63</f>
        <v>0</v>
      </c>
    </row>
    <row r="64" spans="1:19" x14ac:dyDescent="0.2">
      <c r="A64" s="160">
        <v>53</v>
      </c>
      <c r="B64" s="166" t="s">
        <v>146</v>
      </c>
      <c r="C64" s="49" t="s">
        <v>147</v>
      </c>
      <c r="D64" s="815">
        <f t="shared" si="5"/>
        <v>0</v>
      </c>
      <c r="E64" s="818">
        <f t="shared" si="2"/>
        <v>0</v>
      </c>
      <c r="F64" s="818">
        <v>0</v>
      </c>
      <c r="G64" s="818">
        <v>0</v>
      </c>
      <c r="H64" s="818">
        <f t="shared" si="3"/>
        <v>0</v>
      </c>
      <c r="I64" s="645">
        <v>0</v>
      </c>
      <c r="J64" s="818">
        <v>0</v>
      </c>
      <c r="K64" s="818">
        <v>0</v>
      </c>
      <c r="L64" s="818">
        <v>0</v>
      </c>
      <c r="M64" s="818">
        <v>0</v>
      </c>
      <c r="N64" s="818">
        <v>0</v>
      </c>
      <c r="O64" s="815">
        <v>0</v>
      </c>
      <c r="P64" s="818">
        <v>0</v>
      </c>
      <c r="Q64" s="818">
        <v>0</v>
      </c>
      <c r="R64" s="818">
        <v>0</v>
      </c>
      <c r="S64" s="818">
        <f>'[19]Раз.пос.(Пр.3-26)     '!S64+'[19]Уточнение для Пр.5-26'!S64</f>
        <v>0</v>
      </c>
    </row>
    <row r="65" spans="1:19" x14ac:dyDescent="0.2">
      <c r="A65" s="160">
        <v>54</v>
      </c>
      <c r="B65" s="166" t="s">
        <v>148</v>
      </c>
      <c r="C65" s="49" t="s">
        <v>149</v>
      </c>
      <c r="D65" s="815">
        <f t="shared" si="5"/>
        <v>91341</v>
      </c>
      <c r="E65" s="818">
        <f t="shared" si="2"/>
        <v>0</v>
      </c>
      <c r="F65" s="818">
        <v>0</v>
      </c>
      <c r="G65" s="818">
        <v>0</v>
      </c>
      <c r="H65" s="818">
        <f t="shared" si="3"/>
        <v>91341</v>
      </c>
      <c r="I65" s="645">
        <v>0</v>
      </c>
      <c r="J65" s="818">
        <v>500</v>
      </c>
      <c r="K65" s="818">
        <v>0</v>
      </c>
      <c r="L65" s="818">
        <v>90841</v>
      </c>
      <c r="M65" s="818">
        <v>0</v>
      </c>
      <c r="N65" s="818">
        <v>0</v>
      </c>
      <c r="O65" s="815">
        <f t="shared" si="4"/>
        <v>0</v>
      </c>
      <c r="P65" s="818">
        <v>0</v>
      </c>
      <c r="Q65" s="818">
        <v>0</v>
      </c>
      <c r="R65" s="818">
        <v>0</v>
      </c>
      <c r="S65" s="818">
        <f>'[19]Раз.пос.(Пр.3-26)     '!S65+'[19]Уточнение для Пр.5-26'!S65</f>
        <v>0</v>
      </c>
    </row>
    <row r="66" spans="1:19" x14ac:dyDescent="0.2">
      <c r="A66" s="160">
        <v>55</v>
      </c>
      <c r="B66" s="51" t="s">
        <v>150</v>
      </c>
      <c r="C66" s="49" t="s">
        <v>151</v>
      </c>
      <c r="D66" s="815">
        <f t="shared" si="5"/>
        <v>64988</v>
      </c>
      <c r="E66" s="818">
        <f t="shared" si="2"/>
        <v>0</v>
      </c>
      <c r="F66" s="818">
        <v>0</v>
      </c>
      <c r="G66" s="818">
        <v>0</v>
      </c>
      <c r="H66" s="818">
        <f t="shared" si="3"/>
        <v>64988</v>
      </c>
      <c r="I66" s="645">
        <v>0</v>
      </c>
      <c r="J66" s="818">
        <v>400</v>
      </c>
      <c r="K66" s="818">
        <v>0</v>
      </c>
      <c r="L66" s="818">
        <v>64588</v>
      </c>
      <c r="M66" s="818">
        <v>0</v>
      </c>
      <c r="N66" s="818">
        <v>0</v>
      </c>
      <c r="O66" s="815">
        <f t="shared" si="4"/>
        <v>0</v>
      </c>
      <c r="P66" s="818">
        <v>0</v>
      </c>
      <c r="Q66" s="818">
        <v>0</v>
      </c>
      <c r="R66" s="818">
        <v>0</v>
      </c>
      <c r="S66" s="818">
        <f>'[19]Раз.пос.(Пр.3-26)     '!S66+'[19]Уточнение для Пр.5-26'!S66</f>
        <v>0</v>
      </c>
    </row>
    <row r="67" spans="1:19" x14ac:dyDescent="0.2">
      <c r="A67" s="160">
        <v>56</v>
      </c>
      <c r="B67" s="51" t="s">
        <v>154</v>
      </c>
      <c r="C67" s="49" t="s">
        <v>155</v>
      </c>
      <c r="D67" s="815">
        <f t="shared" si="5"/>
        <v>133735</v>
      </c>
      <c r="E67" s="818">
        <f t="shared" si="2"/>
        <v>0</v>
      </c>
      <c r="F67" s="818">
        <v>0</v>
      </c>
      <c r="G67" s="818">
        <v>0</v>
      </c>
      <c r="H67" s="818">
        <f t="shared" si="3"/>
        <v>133735</v>
      </c>
      <c r="I67" s="645">
        <v>0</v>
      </c>
      <c r="J67" s="818">
        <v>1397</v>
      </c>
      <c r="K67" s="818">
        <v>0</v>
      </c>
      <c r="L67" s="818">
        <v>132338</v>
      </c>
      <c r="M67" s="818">
        <v>0</v>
      </c>
      <c r="N67" s="818">
        <v>0</v>
      </c>
      <c r="O67" s="815">
        <f t="shared" si="4"/>
        <v>0</v>
      </c>
      <c r="P67" s="818">
        <v>0</v>
      </c>
      <c r="Q67" s="818">
        <v>0</v>
      </c>
      <c r="R67" s="818">
        <v>0</v>
      </c>
      <c r="S67" s="818">
        <f>'[19]Раз.пос.(Пр.3-26)     '!S68+'[19]Уточнение для Пр.5-26'!S68</f>
        <v>0</v>
      </c>
    </row>
    <row r="68" spans="1:19" ht="24" x14ac:dyDescent="0.2">
      <c r="A68" s="160">
        <v>57</v>
      </c>
      <c r="B68" s="48" t="s">
        <v>158</v>
      </c>
      <c r="C68" s="49" t="s">
        <v>159</v>
      </c>
      <c r="D68" s="815">
        <f t="shared" si="5"/>
        <v>30354</v>
      </c>
      <c r="E68" s="818">
        <f t="shared" si="2"/>
        <v>0</v>
      </c>
      <c r="F68" s="818">
        <v>0</v>
      </c>
      <c r="G68" s="818">
        <v>0</v>
      </c>
      <c r="H68" s="818">
        <f t="shared" si="3"/>
        <v>30354</v>
      </c>
      <c r="I68" s="645">
        <v>12000</v>
      </c>
      <c r="J68" s="818">
        <v>0</v>
      </c>
      <c r="K68" s="818">
        <v>18354</v>
      </c>
      <c r="L68" s="818">
        <v>0</v>
      </c>
      <c r="M68" s="818">
        <v>0</v>
      </c>
      <c r="N68" s="818">
        <v>0</v>
      </c>
      <c r="O68" s="815">
        <f t="shared" si="4"/>
        <v>0</v>
      </c>
      <c r="P68" s="818">
        <v>0</v>
      </c>
      <c r="Q68" s="818">
        <v>0</v>
      </c>
      <c r="R68" s="818">
        <v>0</v>
      </c>
      <c r="S68" s="818">
        <f>'[19]Раз.пос.(Пр.3-26)     '!S70+'[19]Уточнение для Пр.5-26'!S70</f>
        <v>0</v>
      </c>
    </row>
    <row r="69" spans="1:19" ht="24" x14ac:dyDescent="0.2">
      <c r="A69" s="160">
        <v>58</v>
      </c>
      <c r="B69" s="48" t="s">
        <v>160</v>
      </c>
      <c r="C69" s="49" t="s">
        <v>161</v>
      </c>
      <c r="D69" s="815">
        <f t="shared" si="5"/>
        <v>23397</v>
      </c>
      <c r="E69" s="818">
        <f t="shared" si="2"/>
        <v>0</v>
      </c>
      <c r="F69" s="818">
        <v>0</v>
      </c>
      <c r="G69" s="818">
        <v>0</v>
      </c>
      <c r="H69" s="818">
        <f t="shared" si="3"/>
        <v>23397</v>
      </c>
      <c r="I69" s="645">
        <v>12000</v>
      </c>
      <c r="J69" s="818">
        <v>0</v>
      </c>
      <c r="K69" s="818">
        <v>11397</v>
      </c>
      <c r="L69" s="818">
        <v>0</v>
      </c>
      <c r="M69" s="818">
        <v>0</v>
      </c>
      <c r="N69" s="818">
        <v>0</v>
      </c>
      <c r="O69" s="815">
        <f t="shared" si="4"/>
        <v>0</v>
      </c>
      <c r="P69" s="818">
        <v>0</v>
      </c>
      <c r="Q69" s="818">
        <v>0</v>
      </c>
      <c r="R69" s="818">
        <v>0</v>
      </c>
      <c r="S69" s="818">
        <f>'[19]Раз.пос.(Пр.3-26)     '!S71+'[19]Уточнение для Пр.5-26'!S71</f>
        <v>0</v>
      </c>
    </row>
    <row r="70" spans="1:19" x14ac:dyDescent="0.2">
      <c r="A70" s="160">
        <v>59</v>
      </c>
      <c r="B70" s="51" t="s">
        <v>162</v>
      </c>
      <c r="C70" s="49" t="s">
        <v>163</v>
      </c>
      <c r="D70" s="815">
        <f t="shared" si="5"/>
        <v>77469</v>
      </c>
      <c r="E70" s="818">
        <f t="shared" si="2"/>
        <v>0</v>
      </c>
      <c r="F70" s="818">
        <v>0</v>
      </c>
      <c r="G70" s="818">
        <v>0</v>
      </c>
      <c r="H70" s="818">
        <f t="shared" si="3"/>
        <v>76005</v>
      </c>
      <c r="I70" s="645">
        <v>0</v>
      </c>
      <c r="J70" s="818">
        <v>14100</v>
      </c>
      <c r="K70" s="818">
        <v>0</v>
      </c>
      <c r="L70" s="818">
        <v>61905</v>
      </c>
      <c r="M70" s="818">
        <v>1025</v>
      </c>
      <c r="N70" s="818">
        <v>439</v>
      </c>
      <c r="O70" s="815">
        <f t="shared" si="4"/>
        <v>0</v>
      </c>
      <c r="P70" s="818">
        <v>0</v>
      </c>
      <c r="Q70" s="818">
        <v>0</v>
      </c>
      <c r="R70" s="818">
        <v>0</v>
      </c>
      <c r="S70" s="818">
        <f>'[19]Раз.пос.(Пр.3-26)     '!S72+'[19]Уточнение для Пр.5-26'!S72</f>
        <v>0</v>
      </c>
    </row>
    <row r="71" spans="1:19" x14ac:dyDescent="0.2">
      <c r="A71" s="160">
        <v>60</v>
      </c>
      <c r="B71" s="51" t="s">
        <v>164</v>
      </c>
      <c r="C71" s="49" t="s">
        <v>165</v>
      </c>
      <c r="D71" s="815">
        <f t="shared" si="5"/>
        <v>18947</v>
      </c>
      <c r="E71" s="818">
        <f t="shared" si="2"/>
        <v>0</v>
      </c>
      <c r="F71" s="818">
        <v>0</v>
      </c>
      <c r="G71" s="818">
        <v>0</v>
      </c>
      <c r="H71" s="818">
        <f t="shared" si="3"/>
        <v>17483</v>
      </c>
      <c r="I71" s="645">
        <v>0</v>
      </c>
      <c r="J71" s="818">
        <v>300</v>
      </c>
      <c r="K71" s="818">
        <v>0</v>
      </c>
      <c r="L71" s="818">
        <v>17183</v>
      </c>
      <c r="M71" s="818">
        <v>1025</v>
      </c>
      <c r="N71" s="818">
        <v>439</v>
      </c>
      <c r="O71" s="815">
        <f t="shared" si="4"/>
        <v>0</v>
      </c>
      <c r="P71" s="818">
        <v>0</v>
      </c>
      <c r="Q71" s="818">
        <v>0</v>
      </c>
      <c r="R71" s="818">
        <v>0</v>
      </c>
      <c r="S71" s="818">
        <f>'[19]Раз.пос.(Пр.3-26)     '!S73+'[19]Уточнение для Пр.5-26'!S73</f>
        <v>0</v>
      </c>
    </row>
    <row r="72" spans="1:19" x14ac:dyDescent="0.2">
      <c r="A72" s="160">
        <v>61</v>
      </c>
      <c r="B72" s="51" t="s">
        <v>166</v>
      </c>
      <c r="C72" s="49" t="s">
        <v>167</v>
      </c>
      <c r="D72" s="815">
        <f t="shared" si="5"/>
        <v>79160</v>
      </c>
      <c r="E72" s="818">
        <f t="shared" si="2"/>
        <v>1200</v>
      </c>
      <c r="F72" s="818">
        <v>1200</v>
      </c>
      <c r="G72" s="818">
        <v>0</v>
      </c>
      <c r="H72" s="818">
        <f t="shared" si="3"/>
        <v>76496</v>
      </c>
      <c r="I72" s="645">
        <v>0</v>
      </c>
      <c r="J72" s="818">
        <v>15000</v>
      </c>
      <c r="K72" s="818">
        <v>0</v>
      </c>
      <c r="L72" s="818">
        <v>61496</v>
      </c>
      <c r="M72" s="818">
        <v>1025</v>
      </c>
      <c r="N72" s="818">
        <v>439</v>
      </c>
      <c r="O72" s="815">
        <f t="shared" si="4"/>
        <v>0</v>
      </c>
      <c r="P72" s="818">
        <v>0</v>
      </c>
      <c r="Q72" s="818">
        <v>0</v>
      </c>
      <c r="R72" s="818">
        <v>0</v>
      </c>
      <c r="S72" s="818">
        <f>'[19]Раз.пос.(Пр.3-26)     '!S74+'[19]Уточнение для Пр.5-26'!S74</f>
        <v>0</v>
      </c>
    </row>
    <row r="73" spans="1:19" ht="36" x14ac:dyDescent="0.2">
      <c r="A73" s="894">
        <v>62</v>
      </c>
      <c r="B73" s="48" t="s">
        <v>170</v>
      </c>
      <c r="C73" s="56" t="s">
        <v>770</v>
      </c>
      <c r="D73" s="815">
        <f t="shared" si="5"/>
        <v>41185</v>
      </c>
      <c r="E73" s="818">
        <f t="shared" si="2"/>
        <v>0</v>
      </c>
      <c r="F73" s="818">
        <v>0</v>
      </c>
      <c r="G73" s="818">
        <v>0</v>
      </c>
      <c r="H73" s="818">
        <f t="shared" si="3"/>
        <v>41185</v>
      </c>
      <c r="I73" s="645">
        <v>0</v>
      </c>
      <c r="J73" s="818">
        <v>0</v>
      </c>
      <c r="K73" s="818">
        <v>41185</v>
      </c>
      <c r="L73" s="818">
        <v>0</v>
      </c>
      <c r="M73" s="818">
        <v>0</v>
      </c>
      <c r="N73" s="818">
        <v>0</v>
      </c>
      <c r="O73" s="815">
        <f t="shared" si="4"/>
        <v>0</v>
      </c>
      <c r="P73" s="818">
        <v>0</v>
      </c>
      <c r="Q73" s="818">
        <v>0</v>
      </c>
      <c r="R73" s="818">
        <v>0</v>
      </c>
      <c r="S73" s="818">
        <f>'[19]Раз.пос.(Пр.3-26)     '!S76+'[19]Уточнение для Пр.5-26'!S76</f>
        <v>0</v>
      </c>
    </row>
    <row r="74" spans="1:19" ht="24" x14ac:dyDescent="0.2">
      <c r="A74" s="895"/>
      <c r="B74" s="51" t="s">
        <v>168</v>
      </c>
      <c r="C74" s="49" t="s">
        <v>169</v>
      </c>
      <c r="D74" s="815">
        <f t="shared" si="5"/>
        <v>4526</v>
      </c>
      <c r="E74" s="818">
        <f t="shared" si="2"/>
        <v>0</v>
      </c>
      <c r="F74" s="818">
        <v>0</v>
      </c>
      <c r="G74" s="818">
        <v>0</v>
      </c>
      <c r="H74" s="818">
        <f t="shared" si="3"/>
        <v>4526</v>
      </c>
      <c r="I74" s="645">
        <v>0</v>
      </c>
      <c r="J74" s="818">
        <v>0</v>
      </c>
      <c r="K74" s="818">
        <v>4526</v>
      </c>
      <c r="L74" s="818">
        <v>0</v>
      </c>
      <c r="M74" s="818">
        <v>0</v>
      </c>
      <c r="N74" s="818">
        <v>0</v>
      </c>
      <c r="O74" s="815">
        <v>0</v>
      </c>
      <c r="P74" s="818">
        <v>0</v>
      </c>
      <c r="Q74" s="818">
        <v>0</v>
      </c>
      <c r="R74" s="818">
        <v>0</v>
      </c>
      <c r="S74" s="818">
        <v>0</v>
      </c>
    </row>
    <row r="75" spans="1:19" ht="24" x14ac:dyDescent="0.2">
      <c r="A75" s="896"/>
      <c r="B75" s="51" t="s">
        <v>174</v>
      </c>
      <c r="C75" s="49" t="s">
        <v>175</v>
      </c>
      <c r="D75" s="815">
        <f t="shared" si="5"/>
        <v>4851</v>
      </c>
      <c r="E75" s="818">
        <f t="shared" si="2"/>
        <v>0</v>
      </c>
      <c r="F75" s="818">
        <v>0</v>
      </c>
      <c r="G75" s="818">
        <v>0</v>
      </c>
      <c r="H75" s="818">
        <f t="shared" si="3"/>
        <v>4851</v>
      </c>
      <c r="I75" s="645">
        <v>0</v>
      </c>
      <c r="J75" s="818">
        <v>0</v>
      </c>
      <c r="K75" s="818">
        <v>4851</v>
      </c>
      <c r="L75" s="818">
        <v>0</v>
      </c>
      <c r="M75" s="818">
        <v>0</v>
      </c>
      <c r="N75" s="818">
        <v>0</v>
      </c>
      <c r="O75" s="815">
        <f t="shared" si="4"/>
        <v>0</v>
      </c>
      <c r="P75" s="818">
        <v>0</v>
      </c>
      <c r="Q75" s="818">
        <v>0</v>
      </c>
      <c r="R75" s="818">
        <v>0</v>
      </c>
      <c r="S75" s="818">
        <f>'[19]Раз.пос.(Пр.3-26)     '!S77+'[19]Уточнение для Пр.5-26'!S77</f>
        <v>0</v>
      </c>
    </row>
    <row r="76" spans="1:19" ht="36" x14ac:dyDescent="0.2">
      <c r="A76" s="894">
        <v>63</v>
      </c>
      <c r="B76" s="617" t="s">
        <v>176</v>
      </c>
      <c r="C76" s="56" t="s">
        <v>773</v>
      </c>
      <c r="D76" s="815">
        <f t="shared" si="5"/>
        <v>62574</v>
      </c>
      <c r="E76" s="818">
        <f t="shared" ref="E76:E141" si="6">F76+G76</f>
        <v>0</v>
      </c>
      <c r="F76" s="818">
        <v>0</v>
      </c>
      <c r="G76" s="818">
        <v>0</v>
      </c>
      <c r="H76" s="818">
        <f t="shared" ref="H76:H141" si="7">SUM(I76:L76)</f>
        <v>62574</v>
      </c>
      <c r="I76" s="645">
        <v>4274</v>
      </c>
      <c r="J76" s="818">
        <v>0</v>
      </c>
      <c r="K76" s="818">
        <v>58300</v>
      </c>
      <c r="L76" s="818">
        <v>0</v>
      </c>
      <c r="M76" s="818">
        <v>0</v>
      </c>
      <c r="N76" s="818">
        <v>0</v>
      </c>
      <c r="O76" s="815">
        <f t="shared" ref="O76:O140" si="8">P76+Q76</f>
        <v>0</v>
      </c>
      <c r="P76" s="818">
        <v>0</v>
      </c>
      <c r="Q76" s="818">
        <v>0</v>
      </c>
      <c r="R76" s="818">
        <v>0</v>
      </c>
      <c r="S76" s="818">
        <f>'[19]Раз.пос.(Пр.3-26)     '!S79+'[19]Уточнение для Пр.5-26'!S79</f>
        <v>0</v>
      </c>
    </row>
    <row r="77" spans="1:19" ht="24" x14ac:dyDescent="0.2">
      <c r="A77" s="895"/>
      <c r="B77" s="51" t="s">
        <v>172</v>
      </c>
      <c r="C77" s="49" t="s">
        <v>173</v>
      </c>
      <c r="D77" s="815">
        <f t="shared" ref="D77:D139" si="9">E77+H77+M77+N77+O77+S77</f>
        <v>5391</v>
      </c>
      <c r="E77" s="818">
        <f t="shared" si="6"/>
        <v>0</v>
      </c>
      <c r="F77" s="818">
        <v>0</v>
      </c>
      <c r="G77" s="818">
        <v>0</v>
      </c>
      <c r="H77" s="818">
        <f t="shared" si="7"/>
        <v>5391</v>
      </c>
      <c r="I77" s="645">
        <v>0</v>
      </c>
      <c r="J77" s="818">
        <v>0</v>
      </c>
      <c r="K77" s="818">
        <v>5391</v>
      </c>
      <c r="L77" s="818">
        <v>0</v>
      </c>
      <c r="M77" s="818">
        <v>0</v>
      </c>
      <c r="N77" s="818">
        <v>0</v>
      </c>
      <c r="O77" s="815">
        <f t="shared" si="8"/>
        <v>0</v>
      </c>
      <c r="P77" s="818">
        <v>0</v>
      </c>
      <c r="Q77" s="818">
        <v>0</v>
      </c>
      <c r="R77" s="818">
        <v>0</v>
      </c>
      <c r="S77" s="818">
        <f>'[19]Раз.пос.(Пр.3-26)     '!S80+'[19]Уточнение для Пр.5-26'!S80</f>
        <v>0</v>
      </c>
    </row>
    <row r="78" spans="1:19" ht="24" x14ac:dyDescent="0.2">
      <c r="A78" s="895"/>
      <c r="B78" s="48" t="s">
        <v>178</v>
      </c>
      <c r="C78" s="49" t="s">
        <v>179</v>
      </c>
      <c r="D78" s="815">
        <f t="shared" si="9"/>
        <v>4595</v>
      </c>
      <c r="E78" s="818">
        <f t="shared" si="6"/>
        <v>0</v>
      </c>
      <c r="F78" s="818">
        <v>0</v>
      </c>
      <c r="G78" s="818">
        <v>0</v>
      </c>
      <c r="H78" s="818">
        <f t="shared" si="7"/>
        <v>4595</v>
      </c>
      <c r="I78" s="645">
        <v>0</v>
      </c>
      <c r="J78" s="818">
        <v>0</v>
      </c>
      <c r="K78" s="818">
        <v>4595</v>
      </c>
      <c r="L78" s="818">
        <v>0</v>
      </c>
      <c r="M78" s="818">
        <v>0</v>
      </c>
      <c r="N78" s="818">
        <v>0</v>
      </c>
      <c r="O78" s="815">
        <f t="shared" si="8"/>
        <v>0</v>
      </c>
      <c r="P78" s="818">
        <v>0</v>
      </c>
      <c r="Q78" s="818">
        <v>0</v>
      </c>
      <c r="R78" s="818">
        <v>0</v>
      </c>
      <c r="S78" s="818">
        <f>'[19]Раз.пос.(Пр.3-26)     '!S80+'[19]Уточнение для Пр.5-26'!S80</f>
        <v>0</v>
      </c>
    </row>
    <row r="79" spans="1:19" ht="24" x14ac:dyDescent="0.2">
      <c r="A79" s="896"/>
      <c r="B79" s="48" t="s">
        <v>180</v>
      </c>
      <c r="C79" s="49" t="s">
        <v>181</v>
      </c>
      <c r="D79" s="815">
        <f t="shared" si="9"/>
        <v>3591</v>
      </c>
      <c r="E79" s="818">
        <f t="shared" si="6"/>
        <v>0</v>
      </c>
      <c r="F79" s="818">
        <v>0</v>
      </c>
      <c r="G79" s="818">
        <v>0</v>
      </c>
      <c r="H79" s="818">
        <f t="shared" si="7"/>
        <v>3591</v>
      </c>
      <c r="I79" s="645">
        <v>0</v>
      </c>
      <c r="J79" s="818">
        <v>0</v>
      </c>
      <c r="K79" s="818">
        <v>3591</v>
      </c>
      <c r="L79" s="818">
        <v>0</v>
      </c>
      <c r="M79" s="818">
        <v>0</v>
      </c>
      <c r="N79" s="818">
        <v>0</v>
      </c>
      <c r="O79" s="815">
        <f t="shared" si="8"/>
        <v>0</v>
      </c>
      <c r="P79" s="818">
        <v>0</v>
      </c>
      <c r="Q79" s="818">
        <v>0</v>
      </c>
      <c r="R79" s="818">
        <v>0</v>
      </c>
      <c r="S79" s="818">
        <f>'[19]Раз.пос.(Пр.3-26)     '!S81+'[19]Уточнение для Пр.5-26'!S81</f>
        <v>0</v>
      </c>
    </row>
    <row r="80" spans="1:19" x14ac:dyDescent="0.2">
      <c r="A80" s="160">
        <v>64</v>
      </c>
      <c r="B80" s="166" t="s">
        <v>182</v>
      </c>
      <c r="C80" s="49" t="s">
        <v>183</v>
      </c>
      <c r="D80" s="815">
        <f t="shared" si="9"/>
        <v>105131</v>
      </c>
      <c r="E80" s="818">
        <f t="shared" si="6"/>
        <v>0</v>
      </c>
      <c r="F80" s="818">
        <v>0</v>
      </c>
      <c r="G80" s="818">
        <v>0</v>
      </c>
      <c r="H80" s="818">
        <f t="shared" si="7"/>
        <v>103667</v>
      </c>
      <c r="I80" s="645">
        <v>0</v>
      </c>
      <c r="J80" s="818">
        <v>6200</v>
      </c>
      <c r="K80" s="818">
        <v>6867</v>
      </c>
      <c r="L80" s="818">
        <v>90600</v>
      </c>
      <c r="M80" s="818">
        <v>1025</v>
      </c>
      <c r="N80" s="818">
        <v>439</v>
      </c>
      <c r="O80" s="815">
        <f t="shared" si="8"/>
        <v>0</v>
      </c>
      <c r="P80" s="818">
        <v>0</v>
      </c>
      <c r="Q80" s="818">
        <v>0</v>
      </c>
      <c r="R80" s="818">
        <v>0</v>
      </c>
      <c r="S80" s="818">
        <f>'[19]Раз.пос.(Пр.3-26)     '!S82+'[19]Уточнение для Пр.5-26'!S82</f>
        <v>0</v>
      </c>
    </row>
    <row r="81" spans="1:19" x14ac:dyDescent="0.2">
      <c r="A81" s="160">
        <v>65</v>
      </c>
      <c r="B81" s="48" t="s">
        <v>184</v>
      </c>
      <c r="C81" s="49" t="s">
        <v>185</v>
      </c>
      <c r="D81" s="815">
        <f t="shared" si="9"/>
        <v>120765</v>
      </c>
      <c r="E81" s="818">
        <f t="shared" si="6"/>
        <v>0</v>
      </c>
      <c r="F81" s="818">
        <v>0</v>
      </c>
      <c r="G81" s="818">
        <v>0</v>
      </c>
      <c r="H81" s="818">
        <f t="shared" si="7"/>
        <v>113817</v>
      </c>
      <c r="I81" s="645">
        <v>0</v>
      </c>
      <c r="J81" s="818">
        <v>33480</v>
      </c>
      <c r="K81" s="818">
        <v>0</v>
      </c>
      <c r="L81" s="818">
        <v>80337</v>
      </c>
      <c r="M81" s="818">
        <v>3075</v>
      </c>
      <c r="N81" s="818">
        <v>1317</v>
      </c>
      <c r="O81" s="815">
        <f t="shared" si="8"/>
        <v>2556</v>
      </c>
      <c r="P81" s="818">
        <v>0</v>
      </c>
      <c r="Q81" s="818">
        <v>2556</v>
      </c>
      <c r="R81" s="818">
        <v>0</v>
      </c>
      <c r="S81" s="818">
        <f>'[19]Раз.пос.(Пр.3-26)     '!S83+'[19]Уточнение для Пр.5-26'!S83</f>
        <v>0</v>
      </c>
    </row>
    <row r="82" spans="1:19" x14ac:dyDescent="0.2">
      <c r="A82" s="160">
        <v>66</v>
      </c>
      <c r="B82" s="166" t="s">
        <v>186</v>
      </c>
      <c r="C82" s="49" t="s">
        <v>187</v>
      </c>
      <c r="D82" s="815">
        <f t="shared" si="9"/>
        <v>18384</v>
      </c>
      <c r="E82" s="818">
        <f t="shared" si="6"/>
        <v>0</v>
      </c>
      <c r="F82" s="818">
        <v>0</v>
      </c>
      <c r="G82" s="818">
        <v>0</v>
      </c>
      <c r="H82" s="818">
        <f t="shared" si="7"/>
        <v>16920</v>
      </c>
      <c r="I82" s="645">
        <v>0</v>
      </c>
      <c r="J82" s="818">
        <v>1000</v>
      </c>
      <c r="K82" s="818">
        <v>4341</v>
      </c>
      <c r="L82" s="818">
        <v>11579</v>
      </c>
      <c r="M82" s="818">
        <v>1025</v>
      </c>
      <c r="N82" s="818">
        <v>439</v>
      </c>
      <c r="O82" s="815">
        <f t="shared" si="8"/>
        <v>0</v>
      </c>
      <c r="P82" s="818">
        <v>0</v>
      </c>
      <c r="Q82" s="818">
        <v>0</v>
      </c>
      <c r="R82" s="818">
        <v>0</v>
      </c>
      <c r="S82" s="818">
        <f>'[19]Раз.пос.(Пр.3-26)     '!S84+'[19]Уточнение для Пр.5-26'!S84</f>
        <v>0</v>
      </c>
    </row>
    <row r="83" spans="1:19" ht="24" x14ac:dyDescent="0.2">
      <c r="A83" s="894">
        <v>67</v>
      </c>
      <c r="B83" s="617" t="s">
        <v>188</v>
      </c>
      <c r="C83" s="56" t="s">
        <v>777</v>
      </c>
      <c r="D83" s="815">
        <f t="shared" si="9"/>
        <v>137939</v>
      </c>
      <c r="E83" s="818">
        <f t="shared" si="6"/>
        <v>0</v>
      </c>
      <c r="F83" s="818">
        <v>0</v>
      </c>
      <c r="G83" s="818">
        <v>0</v>
      </c>
      <c r="H83" s="818">
        <f t="shared" si="7"/>
        <v>136475</v>
      </c>
      <c r="I83" s="645">
        <v>0</v>
      </c>
      <c r="J83" s="818">
        <v>6126</v>
      </c>
      <c r="K83" s="818">
        <v>9202</v>
      </c>
      <c r="L83" s="818">
        <v>121147</v>
      </c>
      <c r="M83" s="818">
        <v>1025</v>
      </c>
      <c r="N83" s="818">
        <v>439</v>
      </c>
      <c r="O83" s="815">
        <f t="shared" si="8"/>
        <v>0</v>
      </c>
      <c r="P83" s="818">
        <v>0</v>
      </c>
      <c r="Q83" s="818">
        <v>0</v>
      </c>
      <c r="R83" s="818">
        <v>0</v>
      </c>
      <c r="S83" s="818">
        <f>'[19]Раз.пос.(Пр.3-26)     '!S85+'[19]Уточнение для Пр.5-26'!S85</f>
        <v>0</v>
      </c>
    </row>
    <row r="84" spans="1:19" x14ac:dyDescent="0.2">
      <c r="A84" s="896"/>
      <c r="B84" s="166" t="s">
        <v>156</v>
      </c>
      <c r="C84" s="49" t="s">
        <v>157</v>
      </c>
      <c r="D84" s="815">
        <f t="shared" si="9"/>
        <v>29950</v>
      </c>
      <c r="E84" s="818">
        <f t="shared" ref="E84" si="10">F84+G84</f>
        <v>0</v>
      </c>
      <c r="F84" s="818">
        <v>0</v>
      </c>
      <c r="G84" s="818">
        <v>0</v>
      </c>
      <c r="H84" s="818">
        <f t="shared" si="7"/>
        <v>29950</v>
      </c>
      <c r="I84" s="645"/>
      <c r="J84" s="818">
        <v>447</v>
      </c>
      <c r="K84" s="818">
        <v>1331</v>
      </c>
      <c r="L84" s="818">
        <v>28172</v>
      </c>
      <c r="M84" s="818">
        <v>0</v>
      </c>
      <c r="N84" s="818">
        <v>0</v>
      </c>
      <c r="O84" s="815">
        <f t="shared" si="8"/>
        <v>0</v>
      </c>
      <c r="P84" s="818">
        <v>0</v>
      </c>
      <c r="Q84" s="818">
        <v>0</v>
      </c>
      <c r="R84" s="818">
        <v>0</v>
      </c>
      <c r="S84" s="818">
        <v>0</v>
      </c>
    </row>
    <row r="85" spans="1:19" x14ac:dyDescent="0.2">
      <c r="A85" s="160">
        <v>68</v>
      </c>
      <c r="B85" s="48" t="s">
        <v>190</v>
      </c>
      <c r="C85" s="49" t="s">
        <v>191</v>
      </c>
      <c r="D85" s="815">
        <f t="shared" si="9"/>
        <v>149022</v>
      </c>
      <c r="E85" s="818">
        <f t="shared" si="6"/>
        <v>0</v>
      </c>
      <c r="F85" s="818">
        <v>0</v>
      </c>
      <c r="G85" s="818">
        <v>0</v>
      </c>
      <c r="H85" s="818">
        <f t="shared" si="7"/>
        <v>131770</v>
      </c>
      <c r="I85" s="645">
        <v>0</v>
      </c>
      <c r="J85" s="818">
        <v>29500</v>
      </c>
      <c r="K85" s="818">
        <v>12367</v>
      </c>
      <c r="L85" s="818">
        <v>89903</v>
      </c>
      <c r="M85" s="818">
        <v>2050</v>
      </c>
      <c r="N85" s="818">
        <v>878</v>
      </c>
      <c r="O85" s="815">
        <f t="shared" si="8"/>
        <v>9932</v>
      </c>
      <c r="P85" s="818">
        <v>0</v>
      </c>
      <c r="Q85" s="818">
        <v>9932</v>
      </c>
      <c r="R85" s="818">
        <v>0</v>
      </c>
      <c r="S85" s="818">
        <f>'[19]Раз.пос.(Пр.3-26)     '!S86+'[19]Уточнение для Пр.5-26'!S86</f>
        <v>4392</v>
      </c>
    </row>
    <row r="86" spans="1:19" ht="24" x14ac:dyDescent="0.2">
      <c r="A86" s="894">
        <v>69</v>
      </c>
      <c r="B86" s="617" t="s">
        <v>192</v>
      </c>
      <c r="C86" s="56" t="s">
        <v>772</v>
      </c>
      <c r="D86" s="815">
        <f t="shared" si="9"/>
        <v>180176</v>
      </c>
      <c r="E86" s="818">
        <f t="shared" si="6"/>
        <v>0</v>
      </c>
      <c r="F86" s="818">
        <v>0</v>
      </c>
      <c r="G86" s="818">
        <v>0</v>
      </c>
      <c r="H86" s="818">
        <f t="shared" si="7"/>
        <v>180176</v>
      </c>
      <c r="I86" s="645">
        <v>720</v>
      </c>
      <c r="J86" s="818">
        <v>3320</v>
      </c>
      <c r="K86" s="818">
        <v>6344</v>
      </c>
      <c r="L86" s="818">
        <v>169792</v>
      </c>
      <c r="M86" s="818">
        <v>0</v>
      </c>
      <c r="N86" s="818">
        <v>0</v>
      </c>
      <c r="O86" s="815">
        <f t="shared" si="8"/>
        <v>0</v>
      </c>
      <c r="P86" s="818">
        <v>0</v>
      </c>
      <c r="Q86" s="818">
        <v>0</v>
      </c>
      <c r="R86" s="818">
        <v>0</v>
      </c>
      <c r="S86" s="818">
        <f>'[19]Раз.пос.(Пр.3-26)     '!S87+'[19]Уточнение для Пр.5-26'!S87</f>
        <v>0</v>
      </c>
    </row>
    <row r="87" spans="1:19" x14ac:dyDescent="0.2">
      <c r="A87" s="896"/>
      <c r="B87" s="48" t="s">
        <v>152</v>
      </c>
      <c r="C87" s="49" t="s">
        <v>153</v>
      </c>
      <c r="D87" s="815">
        <f t="shared" si="9"/>
        <v>35123</v>
      </c>
      <c r="E87" s="818">
        <v>0</v>
      </c>
      <c r="F87" s="818">
        <v>0</v>
      </c>
      <c r="G87" s="818">
        <v>0</v>
      </c>
      <c r="H87" s="818">
        <f t="shared" si="7"/>
        <v>35123</v>
      </c>
      <c r="I87" s="645">
        <v>240</v>
      </c>
      <c r="J87" s="818">
        <v>467</v>
      </c>
      <c r="K87" s="818">
        <v>2115</v>
      </c>
      <c r="L87" s="818">
        <v>32301</v>
      </c>
      <c r="M87" s="818">
        <v>0</v>
      </c>
      <c r="N87" s="818">
        <v>0</v>
      </c>
      <c r="O87" s="815">
        <v>0</v>
      </c>
      <c r="P87" s="818">
        <v>0</v>
      </c>
      <c r="Q87" s="818">
        <v>0</v>
      </c>
      <c r="R87" s="818">
        <v>0</v>
      </c>
      <c r="S87" s="818">
        <v>0</v>
      </c>
    </row>
    <row r="88" spans="1:19" x14ac:dyDescent="0.2">
      <c r="A88" s="160">
        <v>70</v>
      </c>
      <c r="B88" s="48" t="s">
        <v>194</v>
      </c>
      <c r="C88" s="49" t="s">
        <v>195</v>
      </c>
      <c r="D88" s="815">
        <f t="shared" si="9"/>
        <v>52869</v>
      </c>
      <c r="E88" s="818">
        <f t="shared" si="6"/>
        <v>0</v>
      </c>
      <c r="F88" s="818">
        <v>0</v>
      </c>
      <c r="G88" s="818">
        <v>0</v>
      </c>
      <c r="H88" s="818">
        <f t="shared" si="7"/>
        <v>48405</v>
      </c>
      <c r="I88" s="645">
        <v>0</v>
      </c>
      <c r="J88" s="818">
        <v>17500</v>
      </c>
      <c r="K88" s="818">
        <v>2212</v>
      </c>
      <c r="L88" s="818">
        <v>28693</v>
      </c>
      <c r="M88" s="818">
        <v>1025</v>
      </c>
      <c r="N88" s="818">
        <v>439</v>
      </c>
      <c r="O88" s="815">
        <f t="shared" si="8"/>
        <v>3000</v>
      </c>
      <c r="P88" s="818">
        <v>0</v>
      </c>
      <c r="Q88" s="818">
        <v>3000</v>
      </c>
      <c r="R88" s="818">
        <v>0</v>
      </c>
      <c r="S88" s="818">
        <f>'[19]Раз.пос.(Пр.3-26)     '!S88+'[19]Уточнение для Пр.5-26'!S88</f>
        <v>0</v>
      </c>
    </row>
    <row r="89" spans="1:19" x14ac:dyDescent="0.2">
      <c r="A89" s="160">
        <v>71</v>
      </c>
      <c r="B89" s="48" t="s">
        <v>196</v>
      </c>
      <c r="C89" s="49" t="s">
        <v>197</v>
      </c>
      <c r="D89" s="815">
        <f t="shared" si="9"/>
        <v>27321</v>
      </c>
      <c r="E89" s="818">
        <f t="shared" si="6"/>
        <v>27321</v>
      </c>
      <c r="F89" s="818">
        <v>0</v>
      </c>
      <c r="G89" s="818">
        <v>27321</v>
      </c>
      <c r="H89" s="818">
        <f t="shared" si="7"/>
        <v>0</v>
      </c>
      <c r="I89" s="645">
        <v>0</v>
      </c>
      <c r="J89" s="818">
        <v>0</v>
      </c>
      <c r="K89" s="818">
        <v>0</v>
      </c>
      <c r="L89" s="818">
        <v>0</v>
      </c>
      <c r="M89" s="818">
        <v>0</v>
      </c>
      <c r="N89" s="818">
        <v>0</v>
      </c>
      <c r="O89" s="815">
        <f t="shared" si="8"/>
        <v>0</v>
      </c>
      <c r="P89" s="818">
        <v>0</v>
      </c>
      <c r="Q89" s="818">
        <v>0</v>
      </c>
      <c r="R89" s="818">
        <v>0</v>
      </c>
      <c r="S89" s="818">
        <f>'[19]Раз.пос.(Пр.3-26)     '!S89+'[19]Уточнение для Пр.5-26'!S89</f>
        <v>0</v>
      </c>
    </row>
    <row r="90" spans="1:19" x14ac:dyDescent="0.2">
      <c r="A90" s="160">
        <v>72</v>
      </c>
      <c r="B90" s="51" t="s">
        <v>30</v>
      </c>
      <c r="C90" s="49" t="s">
        <v>198</v>
      </c>
      <c r="D90" s="815">
        <f t="shared" si="9"/>
        <v>0</v>
      </c>
      <c r="E90" s="818">
        <f t="shared" si="6"/>
        <v>0</v>
      </c>
      <c r="F90" s="818">
        <v>0</v>
      </c>
      <c r="G90" s="818">
        <v>0</v>
      </c>
      <c r="H90" s="818">
        <f t="shared" si="7"/>
        <v>0</v>
      </c>
      <c r="I90" s="645">
        <v>0</v>
      </c>
      <c r="J90" s="818">
        <v>0</v>
      </c>
      <c r="K90" s="818">
        <v>0</v>
      </c>
      <c r="L90" s="818">
        <v>0</v>
      </c>
      <c r="M90" s="818">
        <v>0</v>
      </c>
      <c r="N90" s="818">
        <v>0</v>
      </c>
      <c r="O90" s="815">
        <v>0</v>
      </c>
      <c r="P90" s="818">
        <v>0</v>
      </c>
      <c r="Q90" s="818">
        <v>0</v>
      </c>
      <c r="R90" s="818">
        <v>0</v>
      </c>
      <c r="S90" s="818">
        <f>'[19]Раз.пос.(Пр.3-26)     '!S90+'[19]Уточнение для Пр.5-26'!S90</f>
        <v>0</v>
      </c>
    </row>
    <row r="91" spans="1:19" ht="24" x14ac:dyDescent="0.2">
      <c r="A91" s="933">
        <v>73</v>
      </c>
      <c r="B91" s="897" t="s">
        <v>199</v>
      </c>
      <c r="C91" s="56" t="s">
        <v>200</v>
      </c>
      <c r="D91" s="815">
        <f t="shared" si="9"/>
        <v>27136</v>
      </c>
      <c r="E91" s="818">
        <f t="shared" si="6"/>
        <v>5490</v>
      </c>
      <c r="F91" s="818">
        <v>5490</v>
      </c>
      <c r="G91" s="818">
        <v>0</v>
      </c>
      <c r="H91" s="818">
        <f t="shared" si="7"/>
        <v>3228</v>
      </c>
      <c r="I91" s="645">
        <v>0</v>
      </c>
      <c r="J91" s="818">
        <v>620</v>
      </c>
      <c r="K91" s="818">
        <v>0</v>
      </c>
      <c r="L91" s="818">
        <v>2608</v>
      </c>
      <c r="M91" s="818">
        <v>0</v>
      </c>
      <c r="N91" s="818">
        <v>0</v>
      </c>
      <c r="O91" s="815">
        <f t="shared" si="8"/>
        <v>18418</v>
      </c>
      <c r="P91" s="818">
        <v>0</v>
      </c>
      <c r="Q91" s="818">
        <v>18418</v>
      </c>
      <c r="R91" s="818">
        <v>0</v>
      </c>
      <c r="S91" s="818">
        <f>'[19]Раз.пос.(Пр.3-26)     '!S91+'[19]Уточнение для Пр.5-26'!S91</f>
        <v>0</v>
      </c>
    </row>
    <row r="92" spans="1:19" ht="36" x14ac:dyDescent="0.2">
      <c r="A92" s="934"/>
      <c r="B92" s="898"/>
      <c r="C92" s="49" t="s">
        <v>201</v>
      </c>
      <c r="D92" s="815">
        <f t="shared" si="9"/>
        <v>11709</v>
      </c>
      <c r="E92" s="818">
        <f t="shared" si="6"/>
        <v>0</v>
      </c>
      <c r="F92" s="818">
        <v>0</v>
      </c>
      <c r="G92" s="818">
        <v>0</v>
      </c>
      <c r="H92" s="818">
        <f t="shared" si="7"/>
        <v>3228</v>
      </c>
      <c r="I92" s="645">
        <v>0</v>
      </c>
      <c r="J92" s="818">
        <v>620</v>
      </c>
      <c r="K92" s="818">
        <v>0</v>
      </c>
      <c r="L92" s="818">
        <v>2608</v>
      </c>
      <c r="M92" s="818">
        <v>0</v>
      </c>
      <c r="N92" s="818">
        <v>0</v>
      </c>
      <c r="O92" s="815">
        <f t="shared" si="8"/>
        <v>8481</v>
      </c>
      <c r="P92" s="818">
        <v>0</v>
      </c>
      <c r="Q92" s="818">
        <v>8481</v>
      </c>
      <c r="R92" s="818">
        <v>0</v>
      </c>
      <c r="S92" s="818">
        <f>'[19]Раз.пос.(Пр.3-26)     '!S92+'[19]Уточнение для Пр.5-26'!S92</f>
        <v>0</v>
      </c>
    </row>
    <row r="93" spans="1:19" ht="24" x14ac:dyDescent="0.2">
      <c r="A93" s="934"/>
      <c r="B93" s="898"/>
      <c r="C93" s="49" t="s">
        <v>202</v>
      </c>
      <c r="D93" s="815">
        <f t="shared" si="9"/>
        <v>5490</v>
      </c>
      <c r="E93" s="818">
        <f t="shared" si="6"/>
        <v>5490</v>
      </c>
      <c r="F93" s="818">
        <v>5490</v>
      </c>
      <c r="G93" s="818">
        <v>0</v>
      </c>
      <c r="H93" s="818">
        <f t="shared" si="7"/>
        <v>0</v>
      </c>
      <c r="I93" s="645">
        <v>0</v>
      </c>
      <c r="J93" s="818">
        <v>0</v>
      </c>
      <c r="K93" s="818">
        <v>0</v>
      </c>
      <c r="L93" s="818">
        <v>0</v>
      </c>
      <c r="M93" s="818">
        <v>0</v>
      </c>
      <c r="N93" s="818">
        <v>0</v>
      </c>
      <c r="O93" s="815">
        <f t="shared" si="8"/>
        <v>0</v>
      </c>
      <c r="P93" s="818">
        <v>0</v>
      </c>
      <c r="Q93" s="818">
        <v>0</v>
      </c>
      <c r="R93" s="818">
        <v>0</v>
      </c>
      <c r="S93" s="818">
        <f>'[19]Раз.пос.(Пр.3-26)     '!S93+'[19]Уточнение для Пр.5-26'!S93</f>
        <v>0</v>
      </c>
    </row>
    <row r="94" spans="1:19" ht="36" x14ac:dyDescent="0.2">
      <c r="A94" s="935"/>
      <c r="B94" s="899"/>
      <c r="C94" s="57" t="s">
        <v>203</v>
      </c>
      <c r="D94" s="815">
        <f t="shared" si="9"/>
        <v>9937</v>
      </c>
      <c r="E94" s="818">
        <f t="shared" si="6"/>
        <v>0</v>
      </c>
      <c r="F94" s="818">
        <v>0</v>
      </c>
      <c r="G94" s="818">
        <v>0</v>
      </c>
      <c r="H94" s="818">
        <f t="shared" si="7"/>
        <v>0</v>
      </c>
      <c r="I94" s="645">
        <v>0</v>
      </c>
      <c r="J94" s="818">
        <v>0</v>
      </c>
      <c r="K94" s="818">
        <v>0</v>
      </c>
      <c r="L94" s="818">
        <v>0</v>
      </c>
      <c r="M94" s="818">
        <v>0</v>
      </c>
      <c r="N94" s="818">
        <v>0</v>
      </c>
      <c r="O94" s="815">
        <f t="shared" si="8"/>
        <v>9937</v>
      </c>
      <c r="P94" s="818">
        <v>0</v>
      </c>
      <c r="Q94" s="818">
        <v>9937</v>
      </c>
      <c r="R94" s="818">
        <v>0</v>
      </c>
      <c r="S94" s="818">
        <f>'[19]Раз.пос.(Пр.3-26)     '!S94+'[19]Уточнение для Пр.5-26'!S94</f>
        <v>0</v>
      </c>
    </row>
    <row r="95" spans="1:19" ht="24" x14ac:dyDescent="0.2">
      <c r="A95" s="160">
        <v>74</v>
      </c>
      <c r="B95" s="51" t="s">
        <v>204</v>
      </c>
      <c r="C95" s="49" t="s">
        <v>205</v>
      </c>
      <c r="D95" s="815">
        <f t="shared" si="9"/>
        <v>10547</v>
      </c>
      <c r="E95" s="818">
        <f t="shared" si="6"/>
        <v>10547</v>
      </c>
      <c r="F95" s="818">
        <v>1000</v>
      </c>
      <c r="G95" s="818">
        <v>9547</v>
      </c>
      <c r="H95" s="818">
        <f t="shared" si="7"/>
        <v>0</v>
      </c>
      <c r="I95" s="645">
        <v>0</v>
      </c>
      <c r="J95" s="818">
        <v>0</v>
      </c>
      <c r="K95" s="818">
        <v>0</v>
      </c>
      <c r="L95" s="818">
        <v>0</v>
      </c>
      <c r="M95" s="818">
        <v>0</v>
      </c>
      <c r="N95" s="818">
        <v>0</v>
      </c>
      <c r="O95" s="815">
        <f t="shared" si="8"/>
        <v>0</v>
      </c>
      <c r="P95" s="818">
        <v>0</v>
      </c>
      <c r="Q95" s="818">
        <v>0</v>
      </c>
      <c r="R95" s="818">
        <v>0</v>
      </c>
      <c r="S95" s="818">
        <f>'[19]Раз.пос.(Пр.3-26)     '!S95+'[19]Уточнение для Пр.5-26'!S95</f>
        <v>0</v>
      </c>
    </row>
    <row r="96" spans="1:19" x14ac:dyDescent="0.2">
      <c r="A96" s="160">
        <v>75</v>
      </c>
      <c r="B96" s="51" t="s">
        <v>206</v>
      </c>
      <c r="C96" s="49" t="s">
        <v>207</v>
      </c>
      <c r="D96" s="815">
        <f t="shared" si="9"/>
        <v>3388</v>
      </c>
      <c r="E96" s="818">
        <f t="shared" si="6"/>
        <v>0</v>
      </c>
      <c r="F96" s="818">
        <v>0</v>
      </c>
      <c r="G96" s="818">
        <v>0</v>
      </c>
      <c r="H96" s="818">
        <f t="shared" si="7"/>
        <v>3388</v>
      </c>
      <c r="I96" s="645">
        <v>0</v>
      </c>
      <c r="J96" s="818">
        <v>400</v>
      </c>
      <c r="K96" s="818">
        <v>207</v>
      </c>
      <c r="L96" s="818">
        <v>2781</v>
      </c>
      <c r="M96" s="818">
        <v>0</v>
      </c>
      <c r="N96" s="818">
        <v>0</v>
      </c>
      <c r="O96" s="815">
        <f t="shared" si="8"/>
        <v>0</v>
      </c>
      <c r="P96" s="818">
        <v>0</v>
      </c>
      <c r="Q96" s="818">
        <v>0</v>
      </c>
      <c r="R96" s="818">
        <v>0</v>
      </c>
      <c r="S96" s="818">
        <f>'[19]Раз.пос.(Пр.3-26)     '!S96+'[19]Уточнение для Пр.5-26'!S96</f>
        <v>0</v>
      </c>
    </row>
    <row r="97" spans="1:19" x14ac:dyDescent="0.2">
      <c r="A97" s="160">
        <v>76</v>
      </c>
      <c r="B97" s="166" t="s">
        <v>208</v>
      </c>
      <c r="C97" s="49" t="s">
        <v>209</v>
      </c>
      <c r="D97" s="815">
        <f t="shared" si="9"/>
        <v>36354</v>
      </c>
      <c r="E97" s="818">
        <f t="shared" si="6"/>
        <v>0</v>
      </c>
      <c r="F97" s="818">
        <v>0</v>
      </c>
      <c r="G97" s="818">
        <v>0</v>
      </c>
      <c r="H97" s="818">
        <f t="shared" si="7"/>
        <v>34890</v>
      </c>
      <c r="I97" s="645">
        <v>0</v>
      </c>
      <c r="J97" s="818">
        <v>8294</v>
      </c>
      <c r="K97" s="818">
        <v>2422</v>
      </c>
      <c r="L97" s="818">
        <v>24174</v>
      </c>
      <c r="M97" s="818">
        <v>1025</v>
      </c>
      <c r="N97" s="818">
        <v>439</v>
      </c>
      <c r="O97" s="815">
        <f t="shared" si="8"/>
        <v>0</v>
      </c>
      <c r="P97" s="818">
        <v>0</v>
      </c>
      <c r="Q97" s="818">
        <v>0</v>
      </c>
      <c r="R97" s="818">
        <v>0</v>
      </c>
      <c r="S97" s="818">
        <f>'[19]Раз.пос.(Пр.3-26)     '!S97+'[19]Уточнение для Пр.5-26'!S97</f>
        <v>0</v>
      </c>
    </row>
    <row r="98" spans="1:19" x14ac:dyDescent="0.2">
      <c r="A98" s="160">
        <v>77</v>
      </c>
      <c r="B98" s="51" t="s">
        <v>210</v>
      </c>
      <c r="C98" s="49" t="s">
        <v>211</v>
      </c>
      <c r="D98" s="815">
        <f t="shared" si="9"/>
        <v>19225</v>
      </c>
      <c r="E98" s="818">
        <f t="shared" si="6"/>
        <v>0</v>
      </c>
      <c r="F98" s="818">
        <v>0</v>
      </c>
      <c r="G98" s="818">
        <v>0</v>
      </c>
      <c r="H98" s="818">
        <f t="shared" si="7"/>
        <v>19225</v>
      </c>
      <c r="I98" s="645">
        <v>0</v>
      </c>
      <c r="J98" s="818">
        <v>800</v>
      </c>
      <c r="K98" s="818">
        <v>985</v>
      </c>
      <c r="L98" s="818">
        <v>17440</v>
      </c>
      <c r="M98" s="818">
        <v>0</v>
      </c>
      <c r="N98" s="818">
        <v>0</v>
      </c>
      <c r="O98" s="815">
        <f t="shared" si="8"/>
        <v>0</v>
      </c>
      <c r="P98" s="818">
        <v>0</v>
      </c>
      <c r="Q98" s="818">
        <v>0</v>
      </c>
      <c r="R98" s="818">
        <v>0</v>
      </c>
      <c r="S98" s="818">
        <f>'[19]Раз.пос.(Пр.3-26)     '!S98+'[19]Уточнение для Пр.5-26'!S98</f>
        <v>0</v>
      </c>
    </row>
    <row r="99" spans="1:19" x14ac:dyDescent="0.2">
      <c r="A99" s="160">
        <v>78</v>
      </c>
      <c r="B99" s="166" t="s">
        <v>212</v>
      </c>
      <c r="C99" s="49" t="s">
        <v>213</v>
      </c>
      <c r="D99" s="815">
        <f t="shared" si="9"/>
        <v>17862</v>
      </c>
      <c r="E99" s="818">
        <f t="shared" si="6"/>
        <v>0</v>
      </c>
      <c r="F99" s="818">
        <v>0</v>
      </c>
      <c r="G99" s="818">
        <v>0</v>
      </c>
      <c r="H99" s="818">
        <f t="shared" si="7"/>
        <v>17862</v>
      </c>
      <c r="I99" s="645">
        <v>0</v>
      </c>
      <c r="J99" s="818">
        <v>1000</v>
      </c>
      <c r="K99" s="818">
        <f>1730+993</f>
        <v>2723</v>
      </c>
      <c r="L99" s="818">
        <v>14139</v>
      </c>
      <c r="M99" s="818">
        <v>0</v>
      </c>
      <c r="N99" s="818">
        <v>0</v>
      </c>
      <c r="O99" s="815">
        <f t="shared" si="8"/>
        <v>0</v>
      </c>
      <c r="P99" s="818">
        <v>0</v>
      </c>
      <c r="Q99" s="818">
        <v>0</v>
      </c>
      <c r="R99" s="818">
        <v>0</v>
      </c>
      <c r="S99" s="818">
        <f>'[19]Раз.пос.(Пр.3-26)     '!S99+'[19]Уточнение для Пр.5-26'!S99</f>
        <v>0</v>
      </c>
    </row>
    <row r="100" spans="1:19" x14ac:dyDescent="0.2">
      <c r="A100" s="160">
        <v>79</v>
      </c>
      <c r="B100" s="166" t="s">
        <v>214</v>
      </c>
      <c r="C100" s="49" t="s">
        <v>215</v>
      </c>
      <c r="D100" s="815">
        <f t="shared" si="9"/>
        <v>43210</v>
      </c>
      <c r="E100" s="818">
        <f t="shared" si="6"/>
        <v>0</v>
      </c>
      <c r="F100" s="818">
        <v>0</v>
      </c>
      <c r="G100" s="818">
        <v>0</v>
      </c>
      <c r="H100" s="818">
        <f t="shared" si="7"/>
        <v>43210</v>
      </c>
      <c r="I100" s="645">
        <v>0</v>
      </c>
      <c r="J100" s="818">
        <v>3097</v>
      </c>
      <c r="K100" s="818">
        <v>5244</v>
      </c>
      <c r="L100" s="818">
        <v>34869</v>
      </c>
      <c r="M100" s="818">
        <v>0</v>
      </c>
      <c r="N100" s="818">
        <v>0</v>
      </c>
      <c r="O100" s="815">
        <f t="shared" si="8"/>
        <v>0</v>
      </c>
      <c r="P100" s="818">
        <v>0</v>
      </c>
      <c r="Q100" s="818">
        <v>0</v>
      </c>
      <c r="R100" s="818">
        <v>0</v>
      </c>
      <c r="S100" s="818">
        <f>'[19]Раз.пос.(Пр.3-26)     '!S100+'[19]Уточнение для Пр.5-26'!S100</f>
        <v>0</v>
      </c>
    </row>
    <row r="101" spans="1:19" x14ac:dyDescent="0.2">
      <c r="A101" s="160">
        <v>80</v>
      </c>
      <c r="B101" s="51" t="s">
        <v>216</v>
      </c>
      <c r="C101" s="49" t="s">
        <v>217</v>
      </c>
      <c r="D101" s="815">
        <f t="shared" si="9"/>
        <v>16566</v>
      </c>
      <c r="E101" s="818">
        <f t="shared" si="6"/>
        <v>0</v>
      </c>
      <c r="F101" s="818">
        <v>0</v>
      </c>
      <c r="G101" s="818">
        <v>0</v>
      </c>
      <c r="H101" s="818">
        <f t="shared" si="7"/>
        <v>15102</v>
      </c>
      <c r="I101" s="645">
        <v>0</v>
      </c>
      <c r="J101" s="818">
        <v>1793</v>
      </c>
      <c r="K101" s="818">
        <v>2308</v>
      </c>
      <c r="L101" s="818">
        <v>11001</v>
      </c>
      <c r="M101" s="818">
        <v>1025</v>
      </c>
      <c r="N101" s="818">
        <v>439</v>
      </c>
      <c r="O101" s="815">
        <f t="shared" si="8"/>
        <v>0</v>
      </c>
      <c r="P101" s="818">
        <v>0</v>
      </c>
      <c r="Q101" s="818">
        <v>0</v>
      </c>
      <c r="R101" s="818">
        <v>0</v>
      </c>
      <c r="S101" s="818">
        <f>'[19]Раз.пос.(Пр.3-26)     '!S101+'[19]Уточнение для Пр.5-26'!S101</f>
        <v>0</v>
      </c>
    </row>
    <row r="102" spans="1:19" x14ac:dyDescent="0.2">
      <c r="A102" s="160">
        <v>81</v>
      </c>
      <c r="B102" s="48" t="s">
        <v>218</v>
      </c>
      <c r="C102" s="49" t="s">
        <v>219</v>
      </c>
      <c r="D102" s="815">
        <f t="shared" si="9"/>
        <v>46914</v>
      </c>
      <c r="E102" s="818">
        <f t="shared" si="6"/>
        <v>0</v>
      </c>
      <c r="F102" s="818">
        <v>0</v>
      </c>
      <c r="G102" s="818">
        <v>0</v>
      </c>
      <c r="H102" s="818">
        <f t="shared" si="7"/>
        <v>46914</v>
      </c>
      <c r="I102" s="645">
        <v>220</v>
      </c>
      <c r="J102" s="818">
        <v>6023</v>
      </c>
      <c r="K102" s="818">
        <v>3228</v>
      </c>
      <c r="L102" s="818">
        <v>37443</v>
      </c>
      <c r="M102" s="818">
        <v>0</v>
      </c>
      <c r="N102" s="818">
        <v>0</v>
      </c>
      <c r="O102" s="815">
        <f t="shared" si="8"/>
        <v>0</v>
      </c>
      <c r="P102" s="818">
        <v>0</v>
      </c>
      <c r="Q102" s="818">
        <v>0</v>
      </c>
      <c r="R102" s="818">
        <v>0</v>
      </c>
      <c r="S102" s="818">
        <f>'[19]Раз.пос.(Пр.3-26)     '!S102+'[19]Уточнение для Пр.5-26'!S102</f>
        <v>0</v>
      </c>
    </row>
    <row r="103" spans="1:19" x14ac:dyDescent="0.2">
      <c r="A103" s="160">
        <v>82</v>
      </c>
      <c r="B103" s="48" t="s">
        <v>220</v>
      </c>
      <c r="C103" s="49" t="s">
        <v>221</v>
      </c>
      <c r="D103" s="815">
        <f t="shared" si="9"/>
        <v>46931</v>
      </c>
      <c r="E103" s="818">
        <f t="shared" si="6"/>
        <v>0</v>
      </c>
      <c r="F103" s="818">
        <v>0</v>
      </c>
      <c r="G103" s="818">
        <v>0</v>
      </c>
      <c r="H103" s="818">
        <f t="shared" si="7"/>
        <v>45467</v>
      </c>
      <c r="I103" s="645">
        <v>231</v>
      </c>
      <c r="J103" s="818">
        <v>3561</v>
      </c>
      <c r="K103" s="818">
        <v>2486</v>
      </c>
      <c r="L103" s="818">
        <v>39189</v>
      </c>
      <c r="M103" s="818">
        <v>1025</v>
      </c>
      <c r="N103" s="818">
        <v>439</v>
      </c>
      <c r="O103" s="815">
        <f t="shared" si="8"/>
        <v>0</v>
      </c>
      <c r="P103" s="818">
        <v>0</v>
      </c>
      <c r="Q103" s="818">
        <v>0</v>
      </c>
      <c r="R103" s="818">
        <v>0</v>
      </c>
      <c r="S103" s="818">
        <f>'[19]Раз.пос.(Пр.3-26)     '!S103+'[19]Уточнение для Пр.5-26'!S103</f>
        <v>0</v>
      </c>
    </row>
    <row r="104" spans="1:19" x14ac:dyDescent="0.2">
      <c r="A104" s="160">
        <v>83</v>
      </c>
      <c r="B104" s="166" t="s">
        <v>222</v>
      </c>
      <c r="C104" s="49" t="s">
        <v>223</v>
      </c>
      <c r="D104" s="815">
        <f t="shared" si="9"/>
        <v>15980</v>
      </c>
      <c r="E104" s="818">
        <f t="shared" si="6"/>
        <v>0</v>
      </c>
      <c r="F104" s="818">
        <v>0</v>
      </c>
      <c r="G104" s="818">
        <v>0</v>
      </c>
      <c r="H104" s="818">
        <f t="shared" si="7"/>
        <v>15980</v>
      </c>
      <c r="I104" s="645">
        <v>0</v>
      </c>
      <c r="J104" s="818">
        <v>754</v>
      </c>
      <c r="K104" s="818">
        <v>386</v>
      </c>
      <c r="L104" s="818">
        <v>14840</v>
      </c>
      <c r="M104" s="818">
        <v>0</v>
      </c>
      <c r="N104" s="818">
        <v>0</v>
      </c>
      <c r="O104" s="815">
        <f t="shared" si="8"/>
        <v>0</v>
      </c>
      <c r="P104" s="818">
        <v>0</v>
      </c>
      <c r="Q104" s="818">
        <v>0</v>
      </c>
      <c r="R104" s="818">
        <v>0</v>
      </c>
      <c r="S104" s="818">
        <f>'[19]Раз.пос.(Пр.3-26)     '!S104+'[19]Уточнение для Пр.5-26'!S104</f>
        <v>0</v>
      </c>
    </row>
    <row r="105" spans="1:19" x14ac:dyDescent="0.2">
      <c r="A105" s="160">
        <v>84</v>
      </c>
      <c r="B105" s="48" t="s">
        <v>224</v>
      </c>
      <c r="C105" s="49" t="s">
        <v>225</v>
      </c>
      <c r="D105" s="815">
        <f t="shared" si="9"/>
        <v>16383</v>
      </c>
      <c r="E105" s="818">
        <f t="shared" si="6"/>
        <v>0</v>
      </c>
      <c r="F105" s="818">
        <v>0</v>
      </c>
      <c r="G105" s="818">
        <v>0</v>
      </c>
      <c r="H105" s="818">
        <f t="shared" si="7"/>
        <v>16383</v>
      </c>
      <c r="I105" s="645">
        <v>0</v>
      </c>
      <c r="J105" s="818">
        <v>2510</v>
      </c>
      <c r="K105" s="818">
        <v>3449</v>
      </c>
      <c r="L105" s="818">
        <v>10424</v>
      </c>
      <c r="M105" s="818">
        <v>0</v>
      </c>
      <c r="N105" s="818">
        <v>0</v>
      </c>
      <c r="O105" s="815">
        <f t="shared" si="8"/>
        <v>0</v>
      </c>
      <c r="P105" s="818">
        <v>0</v>
      </c>
      <c r="Q105" s="818">
        <v>0</v>
      </c>
      <c r="R105" s="818">
        <v>0</v>
      </c>
      <c r="S105" s="818">
        <f>'[19]Раз.пос.(Пр.3-26)     '!S105+'[19]Уточнение для Пр.5-26'!S105</f>
        <v>0</v>
      </c>
    </row>
    <row r="106" spans="1:19" x14ac:dyDescent="0.2">
      <c r="A106" s="160">
        <v>85</v>
      </c>
      <c r="B106" s="48" t="s">
        <v>226</v>
      </c>
      <c r="C106" s="49" t="s">
        <v>227</v>
      </c>
      <c r="D106" s="815">
        <f t="shared" si="9"/>
        <v>19980</v>
      </c>
      <c r="E106" s="818">
        <f t="shared" si="6"/>
        <v>0</v>
      </c>
      <c r="F106" s="818">
        <v>0</v>
      </c>
      <c r="G106" s="818">
        <v>0</v>
      </c>
      <c r="H106" s="818">
        <f t="shared" si="7"/>
        <v>19980</v>
      </c>
      <c r="I106" s="645">
        <v>0</v>
      </c>
      <c r="J106" s="818">
        <v>2144</v>
      </c>
      <c r="K106" s="818">
        <v>2291</v>
      </c>
      <c r="L106" s="818">
        <v>15545</v>
      </c>
      <c r="M106" s="818">
        <v>0</v>
      </c>
      <c r="N106" s="818">
        <v>0</v>
      </c>
      <c r="O106" s="815">
        <f t="shared" si="8"/>
        <v>0</v>
      </c>
      <c r="P106" s="818">
        <v>0</v>
      </c>
      <c r="Q106" s="818">
        <v>0</v>
      </c>
      <c r="R106" s="818">
        <v>0</v>
      </c>
      <c r="S106" s="818">
        <f>'[19]Раз.пос.(Пр.3-26)     '!S106+'[19]Уточнение для Пр.5-26'!S106</f>
        <v>0</v>
      </c>
    </row>
    <row r="107" spans="1:19" x14ac:dyDescent="0.2">
      <c r="A107" s="160">
        <v>86</v>
      </c>
      <c r="B107" s="51" t="s">
        <v>32</v>
      </c>
      <c r="C107" s="49" t="s">
        <v>33</v>
      </c>
      <c r="D107" s="815">
        <f t="shared" si="9"/>
        <v>26998</v>
      </c>
      <c r="E107" s="818">
        <f t="shared" si="6"/>
        <v>0</v>
      </c>
      <c r="F107" s="818">
        <v>0</v>
      </c>
      <c r="G107" s="818">
        <v>0</v>
      </c>
      <c r="H107" s="818">
        <f t="shared" si="7"/>
        <v>25060</v>
      </c>
      <c r="I107" s="645">
        <v>0</v>
      </c>
      <c r="J107" s="818">
        <v>3700</v>
      </c>
      <c r="K107" s="818">
        <v>2292</v>
      </c>
      <c r="L107" s="818">
        <v>19068</v>
      </c>
      <c r="M107" s="818">
        <v>1025</v>
      </c>
      <c r="N107" s="818">
        <v>439</v>
      </c>
      <c r="O107" s="815">
        <f t="shared" si="8"/>
        <v>474</v>
      </c>
      <c r="P107" s="818">
        <v>0</v>
      </c>
      <c r="Q107" s="818">
        <v>474</v>
      </c>
      <c r="R107" s="818">
        <v>0</v>
      </c>
      <c r="S107" s="818">
        <f>'[19]Раз.пос.(Пр.3-26)     '!S107+'[19]Уточнение для Пр.5-26'!S107</f>
        <v>0</v>
      </c>
    </row>
    <row r="108" spans="1:19" x14ac:dyDescent="0.2">
      <c r="A108" s="160">
        <v>87</v>
      </c>
      <c r="B108" s="166" t="s">
        <v>228</v>
      </c>
      <c r="C108" s="49" t="s">
        <v>229</v>
      </c>
      <c r="D108" s="815">
        <f t="shared" si="9"/>
        <v>13355</v>
      </c>
      <c r="E108" s="818">
        <f t="shared" si="6"/>
        <v>0</v>
      </c>
      <c r="F108" s="818">
        <v>0</v>
      </c>
      <c r="G108" s="818">
        <v>0</v>
      </c>
      <c r="H108" s="818">
        <f t="shared" si="7"/>
        <v>13355</v>
      </c>
      <c r="I108" s="645">
        <v>0</v>
      </c>
      <c r="J108" s="818">
        <v>2220</v>
      </c>
      <c r="K108" s="818">
        <v>1638</v>
      </c>
      <c r="L108" s="818">
        <v>9497</v>
      </c>
      <c r="M108" s="818">
        <v>0</v>
      </c>
      <c r="N108" s="818">
        <v>0</v>
      </c>
      <c r="O108" s="815">
        <f t="shared" si="8"/>
        <v>0</v>
      </c>
      <c r="P108" s="818">
        <v>0</v>
      </c>
      <c r="Q108" s="818">
        <v>0</v>
      </c>
      <c r="R108" s="818">
        <v>0</v>
      </c>
      <c r="S108" s="818">
        <f>'[19]Раз.пос.(Пр.3-26)     '!S108+'[19]Уточнение для Пр.5-26'!S108</f>
        <v>0</v>
      </c>
    </row>
    <row r="109" spans="1:19" x14ac:dyDescent="0.2">
      <c r="A109" s="160">
        <v>88</v>
      </c>
      <c r="B109" s="48" t="s">
        <v>230</v>
      </c>
      <c r="C109" s="49" t="s">
        <v>231</v>
      </c>
      <c r="D109" s="815">
        <f t="shared" si="9"/>
        <v>38696</v>
      </c>
      <c r="E109" s="818">
        <f t="shared" si="6"/>
        <v>0</v>
      </c>
      <c r="F109" s="818">
        <v>0</v>
      </c>
      <c r="G109" s="818">
        <v>0</v>
      </c>
      <c r="H109" s="818">
        <f t="shared" si="7"/>
        <v>38696</v>
      </c>
      <c r="I109" s="645">
        <v>0</v>
      </c>
      <c r="J109" s="818">
        <v>3350</v>
      </c>
      <c r="K109" s="818">
        <v>4498</v>
      </c>
      <c r="L109" s="818">
        <v>30848</v>
      </c>
      <c r="M109" s="818">
        <v>0</v>
      </c>
      <c r="N109" s="818">
        <v>0</v>
      </c>
      <c r="O109" s="815">
        <f t="shared" si="8"/>
        <v>0</v>
      </c>
      <c r="P109" s="818">
        <v>0</v>
      </c>
      <c r="Q109" s="818">
        <v>0</v>
      </c>
      <c r="R109" s="818">
        <v>0</v>
      </c>
      <c r="S109" s="818">
        <f>'[19]Раз.пос.(Пр.3-26)     '!S109+'[19]Уточнение для Пр.5-26'!S109</f>
        <v>0</v>
      </c>
    </row>
    <row r="110" spans="1:19" x14ac:dyDescent="0.2">
      <c r="A110" s="160">
        <v>89</v>
      </c>
      <c r="B110" s="48" t="s">
        <v>232</v>
      </c>
      <c r="C110" s="49" t="s">
        <v>233</v>
      </c>
      <c r="D110" s="815">
        <f t="shared" si="9"/>
        <v>8388</v>
      </c>
      <c r="E110" s="818">
        <f t="shared" si="6"/>
        <v>8388</v>
      </c>
      <c r="F110" s="818">
        <v>0</v>
      </c>
      <c r="G110" s="818">
        <v>8388</v>
      </c>
      <c r="H110" s="818">
        <f t="shared" si="7"/>
        <v>0</v>
      </c>
      <c r="I110" s="645">
        <v>0</v>
      </c>
      <c r="J110" s="818">
        <v>0</v>
      </c>
      <c r="K110" s="818">
        <v>0</v>
      </c>
      <c r="L110" s="818">
        <v>0</v>
      </c>
      <c r="M110" s="818">
        <v>0</v>
      </c>
      <c r="N110" s="818">
        <v>0</v>
      </c>
      <c r="O110" s="815">
        <f t="shared" si="8"/>
        <v>0</v>
      </c>
      <c r="P110" s="818">
        <v>0</v>
      </c>
      <c r="Q110" s="818">
        <v>0</v>
      </c>
      <c r="R110" s="818">
        <v>0</v>
      </c>
      <c r="S110" s="818">
        <f>'[19]Раз.пос.(Пр.3-26)     '!S110+'[19]Уточнение для Пр.5-26'!S110</f>
        <v>0</v>
      </c>
    </row>
    <row r="111" spans="1:19" x14ac:dyDescent="0.2">
      <c r="A111" s="160">
        <v>90</v>
      </c>
      <c r="B111" s="48" t="s">
        <v>234</v>
      </c>
      <c r="C111" s="49" t="s">
        <v>235</v>
      </c>
      <c r="D111" s="815">
        <f t="shared" si="9"/>
        <v>0</v>
      </c>
      <c r="E111" s="818">
        <f t="shared" si="6"/>
        <v>0</v>
      </c>
      <c r="F111" s="818">
        <v>0</v>
      </c>
      <c r="G111" s="818">
        <v>0</v>
      </c>
      <c r="H111" s="818">
        <f t="shared" si="7"/>
        <v>0</v>
      </c>
      <c r="I111" s="645">
        <v>0</v>
      </c>
      <c r="J111" s="818">
        <v>0</v>
      </c>
      <c r="K111" s="818">
        <v>0</v>
      </c>
      <c r="L111" s="818">
        <v>0</v>
      </c>
      <c r="M111" s="818">
        <v>0</v>
      </c>
      <c r="N111" s="818">
        <v>0</v>
      </c>
      <c r="O111" s="815">
        <f t="shared" si="8"/>
        <v>0</v>
      </c>
      <c r="P111" s="818">
        <v>0</v>
      </c>
      <c r="Q111" s="818">
        <v>0</v>
      </c>
      <c r="R111" s="818">
        <v>0</v>
      </c>
      <c r="S111" s="818">
        <f>'[19]Раз.пос.(Пр.3-26)     '!S111+'[19]Уточнение для Пр.5-26'!S111</f>
        <v>0</v>
      </c>
    </row>
    <row r="112" spans="1:19" x14ac:dyDescent="0.2">
      <c r="A112" s="160">
        <v>91</v>
      </c>
      <c r="B112" s="166" t="s">
        <v>236</v>
      </c>
      <c r="C112" s="49" t="s">
        <v>237</v>
      </c>
      <c r="D112" s="815">
        <f t="shared" si="9"/>
        <v>0</v>
      </c>
      <c r="E112" s="818">
        <f t="shared" si="6"/>
        <v>0</v>
      </c>
      <c r="F112" s="818">
        <v>0</v>
      </c>
      <c r="G112" s="818">
        <v>0</v>
      </c>
      <c r="H112" s="818">
        <f t="shared" si="7"/>
        <v>0</v>
      </c>
      <c r="I112" s="645">
        <v>0</v>
      </c>
      <c r="J112" s="818">
        <v>0</v>
      </c>
      <c r="K112" s="818">
        <v>0</v>
      </c>
      <c r="L112" s="818">
        <v>0</v>
      </c>
      <c r="M112" s="818">
        <v>0</v>
      </c>
      <c r="N112" s="818">
        <v>0</v>
      </c>
      <c r="O112" s="815">
        <f t="shared" si="8"/>
        <v>0</v>
      </c>
      <c r="P112" s="818">
        <v>0</v>
      </c>
      <c r="Q112" s="818">
        <v>0</v>
      </c>
      <c r="R112" s="818">
        <v>0</v>
      </c>
      <c r="S112" s="818">
        <f>'[19]Раз.пос.(Пр.3-26)     '!S112+'[19]Уточнение для Пр.5-26'!S112</f>
        <v>0</v>
      </c>
    </row>
    <row r="113" spans="1:19" x14ac:dyDescent="0.2">
      <c r="A113" s="160">
        <v>92</v>
      </c>
      <c r="B113" s="166" t="s">
        <v>238</v>
      </c>
      <c r="C113" s="49" t="s">
        <v>239</v>
      </c>
      <c r="D113" s="815">
        <f t="shared" si="9"/>
        <v>0</v>
      </c>
      <c r="E113" s="818">
        <f t="shared" si="6"/>
        <v>0</v>
      </c>
      <c r="F113" s="818">
        <v>0</v>
      </c>
      <c r="G113" s="818">
        <v>0</v>
      </c>
      <c r="H113" s="818">
        <f t="shared" si="7"/>
        <v>0</v>
      </c>
      <c r="I113" s="645">
        <v>0</v>
      </c>
      <c r="J113" s="818">
        <v>0</v>
      </c>
      <c r="K113" s="818">
        <v>0</v>
      </c>
      <c r="L113" s="818">
        <v>0</v>
      </c>
      <c r="M113" s="818">
        <v>0</v>
      </c>
      <c r="N113" s="818">
        <v>0</v>
      </c>
      <c r="O113" s="815">
        <f t="shared" si="8"/>
        <v>0</v>
      </c>
      <c r="P113" s="818">
        <v>0</v>
      </c>
      <c r="Q113" s="818">
        <v>0</v>
      </c>
      <c r="R113" s="818">
        <v>0</v>
      </c>
      <c r="S113" s="818">
        <f>'[19]Раз.пос.(Пр.3-26)     '!S113+'[19]Уточнение для Пр.5-26'!S113</f>
        <v>0</v>
      </c>
    </row>
    <row r="114" spans="1:19" x14ac:dyDescent="0.2">
      <c r="A114" s="160">
        <v>93</v>
      </c>
      <c r="B114" s="166" t="s">
        <v>240</v>
      </c>
      <c r="C114" s="49" t="s">
        <v>241</v>
      </c>
      <c r="D114" s="815">
        <f t="shared" si="9"/>
        <v>0</v>
      </c>
      <c r="E114" s="818">
        <f t="shared" si="6"/>
        <v>0</v>
      </c>
      <c r="F114" s="818">
        <v>0</v>
      </c>
      <c r="G114" s="818">
        <v>0</v>
      </c>
      <c r="H114" s="818">
        <f t="shared" si="7"/>
        <v>0</v>
      </c>
      <c r="I114" s="645">
        <v>0</v>
      </c>
      <c r="J114" s="818">
        <v>0</v>
      </c>
      <c r="K114" s="818">
        <v>0</v>
      </c>
      <c r="L114" s="818">
        <v>0</v>
      </c>
      <c r="M114" s="818">
        <v>0</v>
      </c>
      <c r="N114" s="818">
        <v>0</v>
      </c>
      <c r="O114" s="815">
        <f t="shared" si="8"/>
        <v>0</v>
      </c>
      <c r="P114" s="818">
        <v>0</v>
      </c>
      <c r="Q114" s="818">
        <v>0</v>
      </c>
      <c r="R114" s="818">
        <v>0</v>
      </c>
      <c r="S114" s="818">
        <f>'[19]Раз.пос.(Пр.3-26)     '!S114+'[19]Уточнение для Пр.5-26'!S114</f>
        <v>0</v>
      </c>
    </row>
    <row r="115" spans="1:19" x14ac:dyDescent="0.2">
      <c r="A115" s="160">
        <v>94</v>
      </c>
      <c r="B115" s="166" t="s">
        <v>242</v>
      </c>
      <c r="C115" s="49" t="s">
        <v>243</v>
      </c>
      <c r="D115" s="815">
        <f t="shared" si="9"/>
        <v>0</v>
      </c>
      <c r="E115" s="818">
        <f t="shared" si="6"/>
        <v>0</v>
      </c>
      <c r="F115" s="818">
        <v>0</v>
      </c>
      <c r="G115" s="818">
        <v>0</v>
      </c>
      <c r="H115" s="818">
        <f t="shared" si="7"/>
        <v>0</v>
      </c>
      <c r="I115" s="645">
        <v>0</v>
      </c>
      <c r="J115" s="818">
        <v>0</v>
      </c>
      <c r="K115" s="818">
        <v>0</v>
      </c>
      <c r="L115" s="818">
        <v>0</v>
      </c>
      <c r="M115" s="818">
        <v>0</v>
      </c>
      <c r="N115" s="818">
        <v>0</v>
      </c>
      <c r="O115" s="815">
        <f t="shared" si="8"/>
        <v>0</v>
      </c>
      <c r="P115" s="818">
        <v>0</v>
      </c>
      <c r="Q115" s="818">
        <v>0</v>
      </c>
      <c r="R115" s="818">
        <v>0</v>
      </c>
      <c r="S115" s="818">
        <f>'[19]Раз.пос.(Пр.3-26)     '!S115+'[19]Уточнение для Пр.5-26'!S115</f>
        <v>0</v>
      </c>
    </row>
    <row r="116" spans="1:19" x14ac:dyDescent="0.2">
      <c r="A116" s="160">
        <v>95</v>
      </c>
      <c r="B116" s="166" t="s">
        <v>244</v>
      </c>
      <c r="C116" s="49" t="s">
        <v>245</v>
      </c>
      <c r="D116" s="815">
        <f t="shared" si="9"/>
        <v>35460</v>
      </c>
      <c r="E116" s="818">
        <f t="shared" si="6"/>
        <v>35460</v>
      </c>
      <c r="F116" s="818">
        <v>0</v>
      </c>
      <c r="G116" s="818">
        <v>35460</v>
      </c>
      <c r="H116" s="818">
        <f t="shared" si="7"/>
        <v>0</v>
      </c>
      <c r="I116" s="645">
        <v>0</v>
      </c>
      <c r="J116" s="818">
        <v>0</v>
      </c>
      <c r="K116" s="818">
        <v>0</v>
      </c>
      <c r="L116" s="818">
        <v>0</v>
      </c>
      <c r="M116" s="818">
        <v>0</v>
      </c>
      <c r="N116" s="818">
        <v>0</v>
      </c>
      <c r="O116" s="815">
        <f t="shared" si="8"/>
        <v>0</v>
      </c>
      <c r="P116" s="818">
        <v>0</v>
      </c>
      <c r="Q116" s="818">
        <v>0</v>
      </c>
      <c r="R116" s="818">
        <v>0</v>
      </c>
      <c r="S116" s="818">
        <f>'[19]Раз.пос.(Пр.3-26)     '!S116+'[19]Уточнение для Пр.5-26'!S116</f>
        <v>0</v>
      </c>
    </row>
    <row r="117" spans="1:19" x14ac:dyDescent="0.2">
      <c r="A117" s="160">
        <v>96</v>
      </c>
      <c r="B117" s="162" t="s">
        <v>246</v>
      </c>
      <c r="C117" s="618" t="s">
        <v>247</v>
      </c>
      <c r="D117" s="815">
        <f t="shared" si="9"/>
        <v>0</v>
      </c>
      <c r="E117" s="818">
        <f t="shared" si="6"/>
        <v>0</v>
      </c>
      <c r="F117" s="818">
        <v>0</v>
      </c>
      <c r="G117" s="818">
        <v>0</v>
      </c>
      <c r="H117" s="818">
        <f t="shared" si="7"/>
        <v>0</v>
      </c>
      <c r="I117" s="645">
        <v>0</v>
      </c>
      <c r="J117" s="818">
        <v>0</v>
      </c>
      <c r="K117" s="818">
        <v>0</v>
      </c>
      <c r="L117" s="818">
        <v>0</v>
      </c>
      <c r="M117" s="818">
        <v>0</v>
      </c>
      <c r="N117" s="818">
        <v>0</v>
      </c>
      <c r="O117" s="815">
        <f t="shared" si="8"/>
        <v>0</v>
      </c>
      <c r="P117" s="818">
        <v>0</v>
      </c>
      <c r="Q117" s="818">
        <v>0</v>
      </c>
      <c r="R117" s="818">
        <v>0</v>
      </c>
      <c r="S117" s="818">
        <f>'[19]Раз.пос.(Пр.3-26)     '!S117+'[19]Уточнение для Пр.5-26'!S117</f>
        <v>0</v>
      </c>
    </row>
    <row r="118" spans="1:19" x14ac:dyDescent="0.2">
      <c r="A118" s="160">
        <v>97</v>
      </c>
      <c r="B118" s="51" t="s">
        <v>248</v>
      </c>
      <c r="C118" s="49" t="s">
        <v>249</v>
      </c>
      <c r="D118" s="815">
        <f t="shared" si="9"/>
        <v>0</v>
      </c>
      <c r="E118" s="818">
        <f t="shared" si="6"/>
        <v>0</v>
      </c>
      <c r="F118" s="818">
        <v>0</v>
      </c>
      <c r="G118" s="818">
        <v>0</v>
      </c>
      <c r="H118" s="818">
        <f t="shared" si="7"/>
        <v>0</v>
      </c>
      <c r="I118" s="645">
        <v>0</v>
      </c>
      <c r="J118" s="818">
        <v>0</v>
      </c>
      <c r="K118" s="818">
        <v>0</v>
      </c>
      <c r="L118" s="818">
        <v>0</v>
      </c>
      <c r="M118" s="818">
        <v>0</v>
      </c>
      <c r="N118" s="818">
        <v>0</v>
      </c>
      <c r="O118" s="815">
        <f t="shared" si="8"/>
        <v>0</v>
      </c>
      <c r="P118" s="818">
        <v>0</v>
      </c>
      <c r="Q118" s="818">
        <v>0</v>
      </c>
      <c r="R118" s="818">
        <v>0</v>
      </c>
      <c r="S118" s="818">
        <f>'[19]Раз.пос.(Пр.3-26)     '!S118+'[19]Уточнение для Пр.5-26'!S118</f>
        <v>0</v>
      </c>
    </row>
    <row r="119" spans="1:19" x14ac:dyDescent="0.2">
      <c r="A119" s="160">
        <v>98</v>
      </c>
      <c r="B119" s="166" t="s">
        <v>250</v>
      </c>
      <c r="C119" s="49" t="s">
        <v>251</v>
      </c>
      <c r="D119" s="815">
        <f t="shared" si="9"/>
        <v>0</v>
      </c>
      <c r="E119" s="818">
        <f t="shared" si="6"/>
        <v>0</v>
      </c>
      <c r="F119" s="818">
        <v>0</v>
      </c>
      <c r="G119" s="818">
        <v>0</v>
      </c>
      <c r="H119" s="818">
        <f t="shared" si="7"/>
        <v>0</v>
      </c>
      <c r="I119" s="645">
        <v>0</v>
      </c>
      <c r="J119" s="818">
        <v>0</v>
      </c>
      <c r="K119" s="818">
        <v>0</v>
      </c>
      <c r="L119" s="818">
        <v>0</v>
      </c>
      <c r="M119" s="818">
        <v>0</v>
      </c>
      <c r="N119" s="818">
        <v>0</v>
      </c>
      <c r="O119" s="815">
        <f t="shared" si="8"/>
        <v>0</v>
      </c>
      <c r="P119" s="818">
        <v>0</v>
      </c>
      <c r="Q119" s="818">
        <v>0</v>
      </c>
      <c r="R119" s="818">
        <v>0</v>
      </c>
      <c r="S119" s="818">
        <f>'[19]Раз.пос.(Пр.3-26)     '!S119+'[19]Уточнение для Пр.5-26'!S119</f>
        <v>0</v>
      </c>
    </row>
    <row r="120" spans="1:19" x14ac:dyDescent="0.2">
      <c r="A120" s="160">
        <v>99</v>
      </c>
      <c r="B120" s="48" t="s">
        <v>252</v>
      </c>
      <c r="C120" s="59" t="s">
        <v>253</v>
      </c>
      <c r="D120" s="815">
        <f t="shared" si="9"/>
        <v>0</v>
      </c>
      <c r="E120" s="818">
        <f t="shared" si="6"/>
        <v>0</v>
      </c>
      <c r="F120" s="818">
        <v>0</v>
      </c>
      <c r="G120" s="818">
        <v>0</v>
      </c>
      <c r="H120" s="818">
        <f t="shared" si="7"/>
        <v>0</v>
      </c>
      <c r="I120" s="645">
        <v>0</v>
      </c>
      <c r="J120" s="818">
        <v>0</v>
      </c>
      <c r="K120" s="818">
        <v>0</v>
      </c>
      <c r="L120" s="818">
        <v>0</v>
      </c>
      <c r="M120" s="818">
        <v>0</v>
      </c>
      <c r="N120" s="818">
        <v>0</v>
      </c>
      <c r="O120" s="815">
        <f t="shared" si="8"/>
        <v>0</v>
      </c>
      <c r="P120" s="818">
        <v>0</v>
      </c>
      <c r="Q120" s="818">
        <v>0</v>
      </c>
      <c r="R120" s="818">
        <v>0</v>
      </c>
      <c r="S120" s="818">
        <f>'[19]Раз.пос.(Пр.3-26)     '!S120+'[19]Уточнение для Пр.5-26'!S120</f>
        <v>0</v>
      </c>
    </row>
    <row r="121" spans="1:19" x14ac:dyDescent="0.2">
      <c r="A121" s="160">
        <v>100</v>
      </c>
      <c r="B121" s="166" t="s">
        <v>254</v>
      </c>
      <c r="C121" s="49" t="s">
        <v>255</v>
      </c>
      <c r="D121" s="815">
        <f t="shared" si="9"/>
        <v>0</v>
      </c>
      <c r="E121" s="818">
        <f t="shared" si="6"/>
        <v>0</v>
      </c>
      <c r="F121" s="818">
        <v>0</v>
      </c>
      <c r="G121" s="818">
        <v>0</v>
      </c>
      <c r="H121" s="818">
        <f t="shared" si="7"/>
        <v>0</v>
      </c>
      <c r="I121" s="645">
        <v>0</v>
      </c>
      <c r="J121" s="818">
        <v>0</v>
      </c>
      <c r="K121" s="818">
        <v>0</v>
      </c>
      <c r="L121" s="818">
        <v>0</v>
      </c>
      <c r="M121" s="818">
        <v>0</v>
      </c>
      <c r="N121" s="818">
        <v>0</v>
      </c>
      <c r="O121" s="815">
        <f t="shared" si="8"/>
        <v>0</v>
      </c>
      <c r="P121" s="818">
        <v>0</v>
      </c>
      <c r="Q121" s="818">
        <v>0</v>
      </c>
      <c r="R121" s="818">
        <v>0</v>
      </c>
      <c r="S121" s="818">
        <f>'[19]Раз.пос.(Пр.3-26)     '!S121+'[19]Уточнение для Пр.5-26'!S121</f>
        <v>0</v>
      </c>
    </row>
    <row r="122" spans="1:19" x14ac:dyDescent="0.2">
      <c r="A122" s="160">
        <v>101</v>
      </c>
      <c r="B122" s="51" t="s">
        <v>256</v>
      </c>
      <c r="C122" s="49" t="s">
        <v>257</v>
      </c>
      <c r="D122" s="815">
        <f t="shared" si="9"/>
        <v>0</v>
      </c>
      <c r="E122" s="818">
        <f t="shared" si="6"/>
        <v>0</v>
      </c>
      <c r="F122" s="818">
        <v>0</v>
      </c>
      <c r="G122" s="818">
        <v>0</v>
      </c>
      <c r="H122" s="818">
        <f t="shared" si="7"/>
        <v>0</v>
      </c>
      <c r="I122" s="645">
        <v>0</v>
      </c>
      <c r="J122" s="818">
        <v>0</v>
      </c>
      <c r="K122" s="818">
        <v>0</v>
      </c>
      <c r="L122" s="818">
        <v>0</v>
      </c>
      <c r="M122" s="818">
        <v>0</v>
      </c>
      <c r="N122" s="818">
        <v>0</v>
      </c>
      <c r="O122" s="815">
        <f t="shared" si="8"/>
        <v>0</v>
      </c>
      <c r="P122" s="818">
        <v>0</v>
      </c>
      <c r="Q122" s="818">
        <v>0</v>
      </c>
      <c r="R122" s="818">
        <v>0</v>
      </c>
      <c r="S122" s="818">
        <f>'[19]Раз.пос.(Пр.3-26)     '!S122+'[19]Уточнение для Пр.5-26'!S122</f>
        <v>0</v>
      </c>
    </row>
    <row r="123" spans="1:19" x14ac:dyDescent="0.2">
      <c r="A123" s="160">
        <v>102</v>
      </c>
      <c r="B123" s="48" t="s">
        <v>258</v>
      </c>
      <c r="C123" s="49" t="s">
        <v>259</v>
      </c>
      <c r="D123" s="815">
        <f t="shared" si="9"/>
        <v>0</v>
      </c>
      <c r="E123" s="818">
        <f t="shared" si="6"/>
        <v>0</v>
      </c>
      <c r="F123" s="818">
        <v>0</v>
      </c>
      <c r="G123" s="818">
        <v>0</v>
      </c>
      <c r="H123" s="818">
        <f t="shared" si="7"/>
        <v>0</v>
      </c>
      <c r="I123" s="645">
        <v>0</v>
      </c>
      <c r="J123" s="818">
        <v>0</v>
      </c>
      <c r="K123" s="818">
        <v>0</v>
      </c>
      <c r="L123" s="818">
        <v>0</v>
      </c>
      <c r="M123" s="818">
        <v>0</v>
      </c>
      <c r="N123" s="818">
        <v>0</v>
      </c>
      <c r="O123" s="815">
        <f t="shared" si="8"/>
        <v>0</v>
      </c>
      <c r="P123" s="818">
        <v>0</v>
      </c>
      <c r="Q123" s="818">
        <v>0</v>
      </c>
      <c r="R123" s="818">
        <v>0</v>
      </c>
      <c r="S123" s="818">
        <f>'[19]Раз.пос.(Пр.3-26)     '!S123+'[19]Уточнение для Пр.5-26'!S123</f>
        <v>0</v>
      </c>
    </row>
    <row r="124" spans="1:19" x14ac:dyDescent="0.2">
      <c r="A124" s="160">
        <v>103</v>
      </c>
      <c r="B124" s="164" t="s">
        <v>542</v>
      </c>
      <c r="C124" s="163" t="s">
        <v>543</v>
      </c>
      <c r="D124" s="815">
        <f t="shared" si="9"/>
        <v>0</v>
      </c>
      <c r="E124" s="818">
        <f t="shared" si="6"/>
        <v>0</v>
      </c>
      <c r="F124" s="818">
        <v>0</v>
      </c>
      <c r="G124" s="818">
        <v>0</v>
      </c>
      <c r="H124" s="818">
        <f t="shared" si="7"/>
        <v>0</v>
      </c>
      <c r="I124" s="645">
        <v>0</v>
      </c>
      <c r="J124" s="818">
        <v>0</v>
      </c>
      <c r="K124" s="818">
        <v>0</v>
      </c>
      <c r="L124" s="818">
        <v>0</v>
      </c>
      <c r="M124" s="818">
        <v>0</v>
      </c>
      <c r="N124" s="818">
        <v>0</v>
      </c>
      <c r="O124" s="815">
        <f t="shared" si="8"/>
        <v>0</v>
      </c>
      <c r="P124" s="818">
        <v>0</v>
      </c>
      <c r="Q124" s="818">
        <v>0</v>
      </c>
      <c r="R124" s="818">
        <v>0</v>
      </c>
      <c r="S124" s="818">
        <f>'[19]Раз.пос.(Пр.3-26)     '!S124+'[19]Уточнение для Пр.5-26'!S124</f>
        <v>0</v>
      </c>
    </row>
    <row r="125" spans="1:19" x14ac:dyDescent="0.2">
      <c r="A125" s="160">
        <v>104</v>
      </c>
      <c r="B125" s="51" t="s">
        <v>260</v>
      </c>
      <c r="C125" s="49" t="s">
        <v>261</v>
      </c>
      <c r="D125" s="815">
        <f t="shared" si="9"/>
        <v>0</v>
      </c>
      <c r="E125" s="818">
        <f t="shared" si="6"/>
        <v>0</v>
      </c>
      <c r="F125" s="818">
        <v>0</v>
      </c>
      <c r="G125" s="818">
        <v>0</v>
      </c>
      <c r="H125" s="818">
        <f t="shared" si="7"/>
        <v>0</v>
      </c>
      <c r="I125" s="645">
        <v>0</v>
      </c>
      <c r="J125" s="818">
        <v>0</v>
      </c>
      <c r="K125" s="818">
        <v>0</v>
      </c>
      <c r="L125" s="818">
        <v>0</v>
      </c>
      <c r="M125" s="818">
        <v>0</v>
      </c>
      <c r="N125" s="818">
        <v>0</v>
      </c>
      <c r="O125" s="815">
        <f t="shared" si="8"/>
        <v>0</v>
      </c>
      <c r="P125" s="818">
        <v>0</v>
      </c>
      <c r="Q125" s="818">
        <v>0</v>
      </c>
      <c r="R125" s="818">
        <v>0</v>
      </c>
      <c r="S125" s="818">
        <f>'[19]Раз.пос.(Пр.3-26)     '!S125+'[19]Уточнение для Пр.5-26'!S125</f>
        <v>0</v>
      </c>
    </row>
    <row r="126" spans="1:19" x14ac:dyDescent="0.2">
      <c r="A126" s="160">
        <v>105</v>
      </c>
      <c r="B126" s="166" t="s">
        <v>262</v>
      </c>
      <c r="C126" s="49" t="s">
        <v>263</v>
      </c>
      <c r="D126" s="815">
        <f t="shared" si="9"/>
        <v>9720</v>
      </c>
      <c r="E126" s="818">
        <f t="shared" si="6"/>
        <v>9720</v>
      </c>
      <c r="F126" s="818">
        <v>0</v>
      </c>
      <c r="G126" s="818">
        <v>9720</v>
      </c>
      <c r="H126" s="818">
        <f t="shared" si="7"/>
        <v>0</v>
      </c>
      <c r="I126" s="645">
        <v>0</v>
      </c>
      <c r="J126" s="818">
        <v>0</v>
      </c>
      <c r="K126" s="818">
        <v>0</v>
      </c>
      <c r="L126" s="818">
        <v>0</v>
      </c>
      <c r="M126" s="818">
        <v>0</v>
      </c>
      <c r="N126" s="818">
        <v>0</v>
      </c>
      <c r="O126" s="815">
        <f t="shared" si="8"/>
        <v>0</v>
      </c>
      <c r="P126" s="818">
        <v>0</v>
      </c>
      <c r="Q126" s="818">
        <v>0</v>
      </c>
      <c r="R126" s="818">
        <v>0</v>
      </c>
      <c r="S126" s="818">
        <f>'[19]Раз.пос.(Пр.3-26)     '!S126+'[19]Уточнение для Пр.5-26'!S126</f>
        <v>0</v>
      </c>
    </row>
    <row r="127" spans="1:19" ht="24" x14ac:dyDescent="0.2">
      <c r="A127" s="160">
        <v>106</v>
      </c>
      <c r="B127" s="166" t="s">
        <v>264</v>
      </c>
      <c r="C127" s="53" t="s">
        <v>265</v>
      </c>
      <c r="D127" s="815">
        <f t="shared" si="9"/>
        <v>0</v>
      </c>
      <c r="E127" s="818">
        <f t="shared" si="6"/>
        <v>0</v>
      </c>
      <c r="F127" s="818">
        <v>0</v>
      </c>
      <c r="G127" s="818">
        <v>0</v>
      </c>
      <c r="H127" s="818">
        <f t="shared" si="7"/>
        <v>0</v>
      </c>
      <c r="I127" s="645">
        <v>0</v>
      </c>
      <c r="J127" s="818">
        <v>0</v>
      </c>
      <c r="K127" s="818">
        <v>0</v>
      </c>
      <c r="L127" s="818">
        <v>0</v>
      </c>
      <c r="M127" s="818">
        <v>0</v>
      </c>
      <c r="N127" s="818">
        <v>0</v>
      </c>
      <c r="O127" s="815">
        <v>0</v>
      </c>
      <c r="P127" s="818">
        <v>0</v>
      </c>
      <c r="Q127" s="818">
        <v>0</v>
      </c>
      <c r="R127" s="818">
        <v>0</v>
      </c>
      <c r="S127" s="818">
        <f>'[19]Раз.пос.(Пр.3-26)     '!S127+'[19]Уточнение для Пр.5-26'!S127</f>
        <v>0</v>
      </c>
    </row>
    <row r="128" spans="1:19" x14ac:dyDescent="0.2">
      <c r="A128" s="160">
        <v>107</v>
      </c>
      <c r="B128" s="166" t="s">
        <v>266</v>
      </c>
      <c r="C128" s="49" t="s">
        <v>267</v>
      </c>
      <c r="D128" s="815">
        <f t="shared" si="9"/>
        <v>236713</v>
      </c>
      <c r="E128" s="818">
        <f t="shared" si="6"/>
        <v>0</v>
      </c>
      <c r="F128" s="818">
        <v>0</v>
      </c>
      <c r="G128" s="818">
        <v>0</v>
      </c>
      <c r="H128" s="818">
        <f t="shared" si="7"/>
        <v>0</v>
      </c>
      <c r="I128" s="645">
        <v>0</v>
      </c>
      <c r="J128" s="818">
        <v>0</v>
      </c>
      <c r="K128" s="818">
        <v>0</v>
      </c>
      <c r="L128" s="818">
        <v>0</v>
      </c>
      <c r="M128" s="818">
        <v>0</v>
      </c>
      <c r="N128" s="818">
        <v>0</v>
      </c>
      <c r="O128" s="815">
        <f t="shared" si="8"/>
        <v>226713</v>
      </c>
      <c r="P128" s="818">
        <v>0</v>
      </c>
      <c r="Q128" s="818">
        <v>226713</v>
      </c>
      <c r="R128" s="818">
        <v>0</v>
      </c>
      <c r="S128" s="818">
        <f>'[19]Раз.пос.(Пр.3-26)     '!S128+'[19]Уточнение для Пр.5-26'!S128</f>
        <v>10000</v>
      </c>
    </row>
    <row r="129" spans="1:19" x14ac:dyDescent="0.2">
      <c r="A129" s="160">
        <v>108</v>
      </c>
      <c r="B129" s="166" t="s">
        <v>268</v>
      </c>
      <c r="C129" s="49" t="s">
        <v>269</v>
      </c>
      <c r="D129" s="815">
        <f t="shared" si="9"/>
        <v>151340</v>
      </c>
      <c r="E129" s="818">
        <f t="shared" si="6"/>
        <v>0</v>
      </c>
      <c r="F129" s="818">
        <v>0</v>
      </c>
      <c r="G129" s="818">
        <v>0</v>
      </c>
      <c r="H129" s="818">
        <f t="shared" si="7"/>
        <v>0</v>
      </c>
      <c r="I129" s="645">
        <v>0</v>
      </c>
      <c r="J129" s="818">
        <v>0</v>
      </c>
      <c r="K129" s="818">
        <v>0</v>
      </c>
      <c r="L129" s="818">
        <v>0</v>
      </c>
      <c r="M129" s="818">
        <v>0</v>
      </c>
      <c r="N129" s="818">
        <v>0</v>
      </c>
      <c r="O129" s="815">
        <f t="shared" si="8"/>
        <v>151340</v>
      </c>
      <c r="P129" s="818">
        <v>0</v>
      </c>
      <c r="Q129" s="818">
        <v>151340</v>
      </c>
      <c r="R129" s="818">
        <v>0</v>
      </c>
      <c r="S129" s="818">
        <f>'[19]Раз.пос.(Пр.3-26)     '!S129+'[19]Уточнение для Пр.5-26'!S129</f>
        <v>0</v>
      </c>
    </row>
    <row r="130" spans="1:19" x14ac:dyDescent="0.2">
      <c r="A130" s="160">
        <v>109</v>
      </c>
      <c r="B130" s="166" t="s">
        <v>270</v>
      </c>
      <c r="C130" s="49" t="s">
        <v>271</v>
      </c>
      <c r="D130" s="815">
        <f t="shared" si="9"/>
        <v>116425</v>
      </c>
      <c r="E130" s="818">
        <f t="shared" si="6"/>
        <v>0</v>
      </c>
      <c r="F130" s="818">
        <v>0</v>
      </c>
      <c r="G130" s="818">
        <v>0</v>
      </c>
      <c r="H130" s="818">
        <f t="shared" si="7"/>
        <v>0</v>
      </c>
      <c r="I130" s="645">
        <v>0</v>
      </c>
      <c r="J130" s="818">
        <v>0</v>
      </c>
      <c r="K130" s="818">
        <v>0</v>
      </c>
      <c r="L130" s="818">
        <v>0</v>
      </c>
      <c r="M130" s="818">
        <v>0</v>
      </c>
      <c r="N130" s="818">
        <v>0</v>
      </c>
      <c r="O130" s="815">
        <f t="shared" si="8"/>
        <v>116425</v>
      </c>
      <c r="P130" s="818">
        <v>0</v>
      </c>
      <c r="Q130" s="818">
        <f>116095+330</f>
        <v>116425</v>
      </c>
      <c r="R130" s="818">
        <v>330</v>
      </c>
      <c r="S130" s="818">
        <f>'[19]Раз.пос.(Пр.3-26)     '!S130+'[19]Уточнение для Пр.5-26'!S130</f>
        <v>0</v>
      </c>
    </row>
    <row r="131" spans="1:19" x14ac:dyDescent="0.2">
      <c r="A131" s="160">
        <v>110</v>
      </c>
      <c r="B131" s="48" t="s">
        <v>272</v>
      </c>
      <c r="C131" s="49" t="s">
        <v>273</v>
      </c>
      <c r="D131" s="815">
        <f t="shared" si="9"/>
        <v>124548</v>
      </c>
      <c r="E131" s="818">
        <f t="shared" si="6"/>
        <v>0</v>
      </c>
      <c r="F131" s="818">
        <v>0</v>
      </c>
      <c r="G131" s="818">
        <v>0</v>
      </c>
      <c r="H131" s="818">
        <f t="shared" si="7"/>
        <v>0</v>
      </c>
      <c r="I131" s="645">
        <v>0</v>
      </c>
      <c r="J131" s="815">
        <v>0</v>
      </c>
      <c r="K131" s="818">
        <v>0</v>
      </c>
      <c r="L131" s="818">
        <v>0</v>
      </c>
      <c r="M131" s="818">
        <v>0</v>
      </c>
      <c r="N131" s="818">
        <v>0</v>
      </c>
      <c r="O131" s="815">
        <f t="shared" si="8"/>
        <v>124548</v>
      </c>
      <c r="P131" s="818">
        <v>2319</v>
      </c>
      <c r="Q131" s="818">
        <v>122229</v>
      </c>
      <c r="R131" s="818">
        <v>0</v>
      </c>
      <c r="S131" s="818">
        <f>'[19]Раз.пос.(Пр.3-26)     '!S131+'[19]Уточнение для Пр.5-26'!S131</f>
        <v>0</v>
      </c>
    </row>
    <row r="132" spans="1:19" x14ac:dyDescent="0.2">
      <c r="A132" s="160">
        <v>111</v>
      </c>
      <c r="B132" s="48" t="s">
        <v>274</v>
      </c>
      <c r="C132" s="49" t="s">
        <v>275</v>
      </c>
      <c r="D132" s="815">
        <f t="shared" si="9"/>
        <v>97492</v>
      </c>
      <c r="E132" s="818">
        <f t="shared" si="6"/>
        <v>10366</v>
      </c>
      <c r="F132" s="818">
        <v>0</v>
      </c>
      <c r="G132" s="818">
        <v>10366</v>
      </c>
      <c r="H132" s="818">
        <f t="shared" si="7"/>
        <v>0</v>
      </c>
      <c r="I132" s="645">
        <v>0</v>
      </c>
      <c r="J132" s="818">
        <v>0</v>
      </c>
      <c r="K132" s="818">
        <v>0</v>
      </c>
      <c r="L132" s="818">
        <v>0</v>
      </c>
      <c r="M132" s="818">
        <v>0</v>
      </c>
      <c r="N132" s="818">
        <v>0</v>
      </c>
      <c r="O132" s="815">
        <f t="shared" si="8"/>
        <v>87126</v>
      </c>
      <c r="P132" s="818">
        <v>0</v>
      </c>
      <c r="Q132" s="818">
        <v>87126</v>
      </c>
      <c r="R132" s="818">
        <v>0</v>
      </c>
      <c r="S132" s="818">
        <f>'[19]Раз.пос.(Пр.3-26)     '!S132+'[19]Уточнение для Пр.5-26'!S132</f>
        <v>0</v>
      </c>
    </row>
    <row r="133" spans="1:19" x14ac:dyDescent="0.2">
      <c r="A133" s="160">
        <v>112</v>
      </c>
      <c r="B133" s="48" t="s">
        <v>276</v>
      </c>
      <c r="C133" s="49" t="s">
        <v>277</v>
      </c>
      <c r="D133" s="815">
        <f t="shared" si="9"/>
        <v>55180</v>
      </c>
      <c r="E133" s="818">
        <f t="shared" si="6"/>
        <v>43180</v>
      </c>
      <c r="F133" s="818">
        <v>0</v>
      </c>
      <c r="G133" s="818">
        <v>43180</v>
      </c>
      <c r="H133" s="818">
        <f t="shared" si="7"/>
        <v>0</v>
      </c>
      <c r="I133" s="645">
        <v>0</v>
      </c>
      <c r="J133" s="818">
        <v>0</v>
      </c>
      <c r="K133" s="818">
        <v>0</v>
      </c>
      <c r="L133" s="818">
        <v>0</v>
      </c>
      <c r="M133" s="818">
        <v>0</v>
      </c>
      <c r="N133" s="818">
        <v>0</v>
      </c>
      <c r="O133" s="815">
        <f t="shared" si="8"/>
        <v>12000</v>
      </c>
      <c r="P133" s="818">
        <v>0</v>
      </c>
      <c r="Q133" s="818">
        <v>12000</v>
      </c>
      <c r="R133" s="818">
        <v>0</v>
      </c>
      <c r="S133" s="818">
        <f>'[19]Раз.пос.(Пр.3-26)     '!S133+'[19]Уточнение для Пр.5-26'!S133</f>
        <v>0</v>
      </c>
    </row>
    <row r="134" spans="1:19" x14ac:dyDescent="0.2">
      <c r="A134" s="160">
        <v>113</v>
      </c>
      <c r="B134" s="166" t="s">
        <v>278</v>
      </c>
      <c r="C134" s="49" t="s">
        <v>279</v>
      </c>
      <c r="D134" s="815">
        <f t="shared" si="9"/>
        <v>90176</v>
      </c>
      <c r="E134" s="818">
        <f t="shared" si="6"/>
        <v>0</v>
      </c>
      <c r="F134" s="818">
        <v>0</v>
      </c>
      <c r="G134" s="818">
        <v>0</v>
      </c>
      <c r="H134" s="818">
        <f t="shared" si="7"/>
        <v>0</v>
      </c>
      <c r="I134" s="645">
        <v>0</v>
      </c>
      <c r="J134" s="818">
        <v>0</v>
      </c>
      <c r="K134" s="818">
        <v>0</v>
      </c>
      <c r="L134" s="818">
        <v>0</v>
      </c>
      <c r="M134" s="818">
        <v>0</v>
      </c>
      <c r="N134" s="818">
        <v>0</v>
      </c>
      <c r="O134" s="815">
        <f t="shared" si="8"/>
        <v>90176</v>
      </c>
      <c r="P134" s="818">
        <v>0</v>
      </c>
      <c r="Q134" s="818">
        <v>90176</v>
      </c>
      <c r="R134" s="818">
        <v>0</v>
      </c>
      <c r="S134" s="818">
        <f>'[19]Раз.пос.(Пр.3-26)     '!S134+'[19]Уточнение для Пр.5-26'!S134</f>
        <v>0</v>
      </c>
    </row>
    <row r="135" spans="1:19" x14ac:dyDescent="0.2">
      <c r="A135" s="160">
        <v>114</v>
      </c>
      <c r="B135" s="166" t="s">
        <v>280</v>
      </c>
      <c r="C135" s="49" t="s">
        <v>281</v>
      </c>
      <c r="D135" s="815">
        <f t="shared" si="9"/>
        <v>0</v>
      </c>
      <c r="E135" s="818">
        <f t="shared" si="6"/>
        <v>0</v>
      </c>
      <c r="F135" s="818">
        <v>0</v>
      </c>
      <c r="G135" s="818">
        <v>0</v>
      </c>
      <c r="H135" s="818">
        <f t="shared" si="7"/>
        <v>0</v>
      </c>
      <c r="I135" s="645">
        <v>0</v>
      </c>
      <c r="J135" s="818">
        <v>0</v>
      </c>
      <c r="K135" s="818">
        <v>0</v>
      </c>
      <c r="L135" s="818">
        <v>0</v>
      </c>
      <c r="M135" s="818">
        <v>0</v>
      </c>
      <c r="N135" s="818">
        <v>0</v>
      </c>
      <c r="O135" s="815">
        <f t="shared" si="8"/>
        <v>0</v>
      </c>
      <c r="P135" s="818">
        <v>0</v>
      </c>
      <c r="Q135" s="818">
        <v>0</v>
      </c>
      <c r="R135" s="818">
        <v>0</v>
      </c>
      <c r="S135" s="818">
        <f>'[19]Раз.пос.(Пр.3-26)     '!S135+'[19]Уточнение для Пр.5-26'!S135</f>
        <v>0</v>
      </c>
    </row>
    <row r="136" spans="1:19" x14ac:dyDescent="0.2">
      <c r="A136" s="160">
        <v>115</v>
      </c>
      <c r="B136" s="166" t="s">
        <v>282</v>
      </c>
      <c r="C136" s="49" t="s">
        <v>768</v>
      </c>
      <c r="D136" s="815">
        <f t="shared" si="9"/>
        <v>60218</v>
      </c>
      <c r="E136" s="818">
        <f t="shared" si="6"/>
        <v>0</v>
      </c>
      <c r="F136" s="818">
        <v>0</v>
      </c>
      <c r="G136" s="818">
        <v>0</v>
      </c>
      <c r="H136" s="818">
        <f t="shared" si="7"/>
        <v>0</v>
      </c>
      <c r="I136" s="645">
        <v>0</v>
      </c>
      <c r="J136" s="818">
        <v>0</v>
      </c>
      <c r="K136" s="818">
        <v>0</v>
      </c>
      <c r="L136" s="818">
        <v>0</v>
      </c>
      <c r="M136" s="818">
        <v>3075</v>
      </c>
      <c r="N136" s="818">
        <v>1317</v>
      </c>
      <c r="O136" s="815">
        <f t="shared" si="8"/>
        <v>55826</v>
      </c>
      <c r="P136" s="818">
        <v>0</v>
      </c>
      <c r="Q136" s="818">
        <v>55826</v>
      </c>
      <c r="R136" s="818">
        <v>0</v>
      </c>
      <c r="S136" s="818">
        <f>'[19]Раз.пос.(Пр.3-26)     '!S136+'[19]Уточнение для Пр.5-26'!S136</f>
        <v>0</v>
      </c>
    </row>
    <row r="137" spans="1:19" x14ac:dyDescent="0.2">
      <c r="A137" s="160">
        <v>116</v>
      </c>
      <c r="B137" s="48" t="s">
        <v>283</v>
      </c>
      <c r="C137" s="49" t="s">
        <v>284</v>
      </c>
      <c r="D137" s="815">
        <f t="shared" si="9"/>
        <v>23033</v>
      </c>
      <c r="E137" s="818">
        <f t="shared" si="6"/>
        <v>0</v>
      </c>
      <c r="F137" s="818">
        <v>0</v>
      </c>
      <c r="G137" s="818">
        <v>0</v>
      </c>
      <c r="H137" s="818">
        <f t="shared" si="7"/>
        <v>20152</v>
      </c>
      <c r="I137" s="645">
        <v>0</v>
      </c>
      <c r="J137" s="818">
        <v>2270</v>
      </c>
      <c r="K137" s="818">
        <v>0</v>
      </c>
      <c r="L137" s="818">
        <v>17882</v>
      </c>
      <c r="M137" s="818">
        <v>1025</v>
      </c>
      <c r="N137" s="818">
        <v>439</v>
      </c>
      <c r="O137" s="815">
        <f t="shared" si="8"/>
        <v>1417</v>
      </c>
      <c r="P137" s="818">
        <v>0</v>
      </c>
      <c r="Q137" s="818">
        <v>1417</v>
      </c>
      <c r="R137" s="818">
        <v>0</v>
      </c>
      <c r="S137" s="818">
        <f>'[19]Раз.пос.(Пр.3-26)     '!S137+'[19]Уточнение для Пр.5-26'!S137</f>
        <v>0</v>
      </c>
    </row>
    <row r="138" spans="1:19" ht="24" x14ac:dyDescent="0.2">
      <c r="A138" s="160">
        <v>117</v>
      </c>
      <c r="B138" s="51" t="s">
        <v>285</v>
      </c>
      <c r="C138" s="49" t="s">
        <v>726</v>
      </c>
      <c r="D138" s="815">
        <f t="shared" si="9"/>
        <v>103471</v>
      </c>
      <c r="E138" s="818">
        <f t="shared" si="6"/>
        <v>0</v>
      </c>
      <c r="F138" s="818">
        <v>0</v>
      </c>
      <c r="G138" s="818">
        <v>0</v>
      </c>
      <c r="H138" s="818">
        <f t="shared" si="7"/>
        <v>95511</v>
      </c>
      <c r="I138" s="645">
        <v>0</v>
      </c>
      <c r="J138" s="818">
        <v>7989</v>
      </c>
      <c r="K138" s="818">
        <v>2141</v>
      </c>
      <c r="L138" s="818">
        <v>85381</v>
      </c>
      <c r="M138" s="818">
        <v>1025</v>
      </c>
      <c r="N138" s="818">
        <v>439</v>
      </c>
      <c r="O138" s="815">
        <f t="shared" si="8"/>
        <v>6496</v>
      </c>
      <c r="P138" s="818">
        <v>0</v>
      </c>
      <c r="Q138" s="818">
        <v>6496</v>
      </c>
      <c r="R138" s="818">
        <v>0</v>
      </c>
      <c r="S138" s="818">
        <f>'[19]Раз.пос.(Пр.3-26)     '!S138+'[19]Уточнение для Пр.5-26'!S138</f>
        <v>0</v>
      </c>
    </row>
    <row r="139" spans="1:19" x14ac:dyDescent="0.2">
      <c r="A139" s="160">
        <v>118</v>
      </c>
      <c r="B139" s="166" t="s">
        <v>286</v>
      </c>
      <c r="C139" s="49" t="s">
        <v>287</v>
      </c>
      <c r="D139" s="815">
        <f t="shared" si="9"/>
        <v>5638</v>
      </c>
      <c r="E139" s="818">
        <f t="shared" si="6"/>
        <v>0</v>
      </c>
      <c r="F139" s="818">
        <v>0</v>
      </c>
      <c r="G139" s="818">
        <v>0</v>
      </c>
      <c r="H139" s="818">
        <f t="shared" si="7"/>
        <v>0</v>
      </c>
      <c r="I139" s="645">
        <v>0</v>
      </c>
      <c r="J139" s="818">
        <v>0</v>
      </c>
      <c r="K139" s="818">
        <v>0</v>
      </c>
      <c r="L139" s="818">
        <v>0</v>
      </c>
      <c r="M139" s="818">
        <v>0</v>
      </c>
      <c r="N139" s="818">
        <v>0</v>
      </c>
      <c r="O139" s="815">
        <f t="shared" si="8"/>
        <v>5638</v>
      </c>
      <c r="P139" s="818">
        <v>0</v>
      </c>
      <c r="Q139" s="818">
        <v>5638</v>
      </c>
      <c r="R139" s="818">
        <v>0</v>
      </c>
      <c r="S139" s="818">
        <f>'[19]Раз.пос.(Пр.3-26)     '!S139+'[19]Уточнение для Пр.5-26'!S139</f>
        <v>0</v>
      </c>
    </row>
    <row r="140" spans="1:19" x14ac:dyDescent="0.2">
      <c r="A140" s="160">
        <v>119</v>
      </c>
      <c r="B140" s="48" t="s">
        <v>288</v>
      </c>
      <c r="C140" s="49" t="s">
        <v>289</v>
      </c>
      <c r="D140" s="815">
        <f>E140+H140+M140+N140+O140+S140</f>
        <v>26015</v>
      </c>
      <c r="E140" s="818">
        <f t="shared" si="6"/>
        <v>0</v>
      </c>
      <c r="F140" s="818">
        <v>0</v>
      </c>
      <c r="G140" s="818">
        <v>0</v>
      </c>
      <c r="H140" s="818">
        <f t="shared" si="7"/>
        <v>0</v>
      </c>
      <c r="I140" s="645">
        <v>0</v>
      </c>
      <c r="J140" s="818">
        <v>0</v>
      </c>
      <c r="K140" s="818">
        <v>0</v>
      </c>
      <c r="L140" s="818">
        <v>0</v>
      </c>
      <c r="M140" s="818">
        <v>0</v>
      </c>
      <c r="N140" s="818">
        <v>0</v>
      </c>
      <c r="O140" s="815">
        <f t="shared" si="8"/>
        <v>26015</v>
      </c>
      <c r="P140" s="818">
        <v>4646</v>
      </c>
      <c r="Q140" s="818">
        <v>21369</v>
      </c>
      <c r="R140" s="818">
        <v>0</v>
      </c>
      <c r="S140" s="818">
        <f>'[19]Раз.пос.(Пр.3-26)     '!S140+'[19]Уточнение для Пр.5-26'!S140</f>
        <v>0</v>
      </c>
    </row>
    <row r="141" spans="1:19" ht="12.75" x14ac:dyDescent="0.2">
      <c r="A141" s="160">
        <v>120</v>
      </c>
      <c r="B141" s="338" t="s">
        <v>290</v>
      </c>
      <c r="C141" s="646" t="s">
        <v>291</v>
      </c>
      <c r="D141" s="815">
        <f t="shared" ref="D141:D148" si="11">E141+H141+M141+N141+O141+S141</f>
        <v>0</v>
      </c>
      <c r="E141" s="818">
        <f t="shared" si="6"/>
        <v>0</v>
      </c>
      <c r="F141" s="818">
        <v>0</v>
      </c>
      <c r="G141" s="818">
        <v>0</v>
      </c>
      <c r="H141" s="818">
        <f t="shared" si="7"/>
        <v>0</v>
      </c>
      <c r="I141" s="645">
        <v>0</v>
      </c>
      <c r="J141" s="818">
        <v>0</v>
      </c>
      <c r="K141" s="818">
        <v>0</v>
      </c>
      <c r="L141" s="818">
        <v>0</v>
      </c>
      <c r="M141" s="818">
        <v>0</v>
      </c>
      <c r="N141" s="818">
        <v>0</v>
      </c>
      <c r="O141" s="815">
        <v>0</v>
      </c>
      <c r="P141" s="818">
        <v>0</v>
      </c>
      <c r="Q141" s="818">
        <v>0</v>
      </c>
      <c r="R141" s="818">
        <v>0</v>
      </c>
      <c r="S141" s="818">
        <f>'[19]Раз.пос.(Пр.3-26)     '!S141+'[19]Уточнение для Пр.5-26'!S141</f>
        <v>0</v>
      </c>
    </row>
    <row r="142" spans="1:19" ht="12.75" x14ac:dyDescent="0.2">
      <c r="A142" s="160">
        <v>121</v>
      </c>
      <c r="B142" s="647" t="s">
        <v>292</v>
      </c>
      <c r="C142" s="649" t="s">
        <v>293</v>
      </c>
      <c r="D142" s="815">
        <f t="shared" si="11"/>
        <v>0</v>
      </c>
      <c r="E142" s="818">
        <f t="shared" ref="E142:E148" si="12">F142+G142</f>
        <v>0</v>
      </c>
      <c r="F142" s="818">
        <v>0</v>
      </c>
      <c r="G142" s="818">
        <v>0</v>
      </c>
      <c r="H142" s="818">
        <f t="shared" ref="H142:H148" si="13">SUM(I142:L142)</f>
        <v>0</v>
      </c>
      <c r="I142" s="645">
        <v>0</v>
      </c>
      <c r="J142" s="818">
        <v>0</v>
      </c>
      <c r="K142" s="818">
        <v>0</v>
      </c>
      <c r="L142" s="818">
        <v>0</v>
      </c>
      <c r="M142" s="818">
        <v>0</v>
      </c>
      <c r="N142" s="818">
        <v>0</v>
      </c>
      <c r="O142" s="815">
        <v>0</v>
      </c>
      <c r="P142" s="818">
        <v>0</v>
      </c>
      <c r="Q142" s="818">
        <v>0</v>
      </c>
      <c r="R142" s="818">
        <v>0</v>
      </c>
      <c r="S142" s="818">
        <f>'[19]Раз.пос.(Пр.3-26)     '!S142+'[19]Уточнение для Пр.5-26'!S142</f>
        <v>0</v>
      </c>
    </row>
    <row r="143" spans="1:19" ht="12.75" x14ac:dyDescent="0.2">
      <c r="A143" s="160">
        <v>122</v>
      </c>
      <c r="B143" s="648" t="s">
        <v>294</v>
      </c>
      <c r="C143" s="649" t="s">
        <v>295</v>
      </c>
      <c r="D143" s="815">
        <f t="shared" si="11"/>
        <v>0</v>
      </c>
      <c r="E143" s="818">
        <f t="shared" si="12"/>
        <v>0</v>
      </c>
      <c r="F143" s="818">
        <v>0</v>
      </c>
      <c r="G143" s="818">
        <v>0</v>
      </c>
      <c r="H143" s="818">
        <f t="shared" si="13"/>
        <v>0</v>
      </c>
      <c r="I143" s="645">
        <v>0</v>
      </c>
      <c r="J143" s="818">
        <v>0</v>
      </c>
      <c r="K143" s="818">
        <v>0</v>
      </c>
      <c r="L143" s="818">
        <v>0</v>
      </c>
      <c r="M143" s="819">
        <v>0</v>
      </c>
      <c r="N143" s="819">
        <v>0</v>
      </c>
      <c r="O143" s="815">
        <v>0</v>
      </c>
      <c r="P143" s="819">
        <v>0</v>
      </c>
      <c r="Q143" s="819">
        <v>0</v>
      </c>
      <c r="R143" s="819">
        <v>0</v>
      </c>
      <c r="S143" s="819">
        <f>'[19]Раз.пос.(Пр.3-26)     '!S143+'[19]Уточнение для Пр.5-26'!S143</f>
        <v>0</v>
      </c>
    </row>
    <row r="144" spans="1:19" ht="12.75" x14ac:dyDescent="0.2">
      <c r="A144" s="160">
        <v>123</v>
      </c>
      <c r="B144" s="650" t="s">
        <v>296</v>
      </c>
      <c r="C144" s="639" t="s">
        <v>460</v>
      </c>
      <c r="D144" s="815">
        <f t="shared" si="11"/>
        <v>0</v>
      </c>
      <c r="E144" s="818">
        <f t="shared" si="12"/>
        <v>0</v>
      </c>
      <c r="F144" s="818">
        <v>0</v>
      </c>
      <c r="G144" s="818">
        <v>0</v>
      </c>
      <c r="H144" s="818">
        <f t="shared" si="13"/>
        <v>0</v>
      </c>
      <c r="I144" s="645">
        <v>0</v>
      </c>
      <c r="J144" s="818">
        <v>0</v>
      </c>
      <c r="K144" s="818">
        <v>0</v>
      </c>
      <c r="L144" s="818">
        <v>0</v>
      </c>
      <c r="M144" s="820">
        <v>0</v>
      </c>
      <c r="N144" s="820">
        <v>0</v>
      </c>
      <c r="O144" s="815">
        <v>0</v>
      </c>
      <c r="P144" s="819">
        <v>0</v>
      </c>
      <c r="Q144" s="819">
        <v>0</v>
      </c>
      <c r="R144" s="819">
        <v>0</v>
      </c>
      <c r="S144" s="819">
        <f>'[19]Раз.пос.(Пр.3-26)     '!S144+'[19]Уточнение для Пр.5-26'!S144</f>
        <v>0</v>
      </c>
    </row>
    <row r="145" spans="1:19" x14ac:dyDescent="0.2">
      <c r="A145" s="160">
        <v>124</v>
      </c>
      <c r="B145" s="160" t="s">
        <v>298</v>
      </c>
      <c r="C145" s="143" t="s">
        <v>299</v>
      </c>
      <c r="D145" s="815">
        <f t="shared" si="11"/>
        <v>0</v>
      </c>
      <c r="E145" s="818">
        <f t="shared" si="12"/>
        <v>0</v>
      </c>
      <c r="F145" s="818">
        <v>0</v>
      </c>
      <c r="G145" s="818">
        <v>0</v>
      </c>
      <c r="H145" s="818">
        <f t="shared" si="13"/>
        <v>0</v>
      </c>
      <c r="I145" s="645">
        <v>0</v>
      </c>
      <c r="J145" s="818">
        <v>0</v>
      </c>
      <c r="K145" s="818">
        <v>0</v>
      </c>
      <c r="L145" s="818">
        <v>0</v>
      </c>
      <c r="M145" s="819">
        <v>0</v>
      </c>
      <c r="N145" s="819">
        <v>0</v>
      </c>
      <c r="O145" s="815">
        <v>0</v>
      </c>
      <c r="P145" s="819">
        <v>0</v>
      </c>
      <c r="Q145" s="819">
        <v>0</v>
      </c>
      <c r="R145" s="819">
        <v>0</v>
      </c>
      <c r="S145" s="819">
        <f>'[19]Раз.пос.(Пр.3-26)     '!S145+'[19]Уточнение для Пр.5-26'!S145</f>
        <v>0</v>
      </c>
    </row>
    <row r="146" spans="1:19" x14ac:dyDescent="0.2">
      <c r="A146" s="160">
        <v>125</v>
      </c>
      <c r="B146" s="74" t="s">
        <v>300</v>
      </c>
      <c r="C146" s="143" t="s">
        <v>301</v>
      </c>
      <c r="D146" s="815">
        <f t="shared" si="11"/>
        <v>0</v>
      </c>
      <c r="E146" s="818">
        <f t="shared" si="12"/>
        <v>0</v>
      </c>
      <c r="F146" s="818">
        <v>0</v>
      </c>
      <c r="G146" s="818">
        <v>0</v>
      </c>
      <c r="H146" s="818">
        <f t="shared" si="13"/>
        <v>0</v>
      </c>
      <c r="I146" s="645">
        <v>0</v>
      </c>
      <c r="J146" s="818">
        <v>0</v>
      </c>
      <c r="K146" s="818">
        <v>0</v>
      </c>
      <c r="L146" s="818">
        <v>0</v>
      </c>
      <c r="M146" s="819">
        <v>0</v>
      </c>
      <c r="N146" s="819">
        <v>0</v>
      </c>
      <c r="O146" s="815">
        <v>0</v>
      </c>
      <c r="P146" s="819">
        <v>0</v>
      </c>
      <c r="Q146" s="819">
        <v>0</v>
      </c>
      <c r="R146" s="819">
        <v>0</v>
      </c>
      <c r="S146" s="819">
        <f>'[19]Раз.пос.(Пр.3-26)     '!S146+'[19]Уточнение для Пр.5-26'!S146</f>
        <v>0</v>
      </c>
    </row>
    <row r="147" spans="1:19" x14ac:dyDescent="0.2">
      <c r="A147" s="160">
        <v>126</v>
      </c>
      <c r="B147" s="651" t="s">
        <v>302</v>
      </c>
      <c r="C147" s="652" t="s">
        <v>303</v>
      </c>
      <c r="D147" s="815">
        <f t="shared" si="11"/>
        <v>0</v>
      </c>
      <c r="E147" s="818">
        <f t="shared" si="12"/>
        <v>0</v>
      </c>
      <c r="F147" s="818">
        <v>0</v>
      </c>
      <c r="G147" s="818">
        <v>0</v>
      </c>
      <c r="H147" s="818">
        <f t="shared" si="13"/>
        <v>0</v>
      </c>
      <c r="I147" s="645">
        <v>0</v>
      </c>
      <c r="J147" s="818">
        <v>0</v>
      </c>
      <c r="K147" s="818">
        <v>0</v>
      </c>
      <c r="L147" s="818">
        <v>0</v>
      </c>
      <c r="M147" s="819">
        <v>0</v>
      </c>
      <c r="N147" s="819">
        <v>0</v>
      </c>
      <c r="O147" s="815">
        <v>0</v>
      </c>
      <c r="P147" s="819">
        <v>0</v>
      </c>
      <c r="Q147" s="819">
        <v>0</v>
      </c>
      <c r="R147" s="819">
        <v>0</v>
      </c>
      <c r="S147" s="819">
        <f>'[19]Раз.пос.(Пр.3-26)     '!S147+'[19]Уточнение для Пр.5-26'!S147</f>
        <v>0</v>
      </c>
    </row>
    <row r="148" spans="1:19" x14ac:dyDescent="0.2">
      <c r="A148" s="160">
        <v>127</v>
      </c>
      <c r="B148" s="74" t="s">
        <v>304</v>
      </c>
      <c r="C148" s="143" t="s">
        <v>305</v>
      </c>
      <c r="D148" s="815">
        <f t="shared" si="11"/>
        <v>0</v>
      </c>
      <c r="E148" s="818">
        <f t="shared" si="12"/>
        <v>0</v>
      </c>
      <c r="F148" s="818">
        <v>0</v>
      </c>
      <c r="G148" s="818">
        <v>0</v>
      </c>
      <c r="H148" s="818">
        <f t="shared" si="13"/>
        <v>0</v>
      </c>
      <c r="I148" s="645">
        <v>0</v>
      </c>
      <c r="J148" s="818">
        <v>0</v>
      </c>
      <c r="K148" s="818">
        <v>0</v>
      </c>
      <c r="L148" s="818">
        <v>0</v>
      </c>
      <c r="M148" s="819">
        <v>0</v>
      </c>
      <c r="N148" s="819">
        <v>0</v>
      </c>
      <c r="O148" s="815">
        <v>0</v>
      </c>
      <c r="P148" s="819">
        <v>0</v>
      </c>
      <c r="Q148" s="819">
        <v>0</v>
      </c>
      <c r="R148" s="819">
        <v>0</v>
      </c>
      <c r="S148" s="819">
        <f>'[19]Раз.пос.(Пр.3-26)     '!S148+'[19]Уточнение для Пр.5-26'!S148</f>
        <v>0</v>
      </c>
    </row>
  </sheetData>
  <mergeCells count="33">
    <mergeCell ref="A76:A79"/>
    <mergeCell ref="A83:A84"/>
    <mergeCell ref="A86:A87"/>
    <mergeCell ref="A91:A94"/>
    <mergeCell ref="B91:B94"/>
    <mergeCell ref="R5:R6"/>
    <mergeCell ref="A8:C8"/>
    <mergeCell ref="A9:C9"/>
    <mergeCell ref="A10:C10"/>
    <mergeCell ref="A35:A36"/>
    <mergeCell ref="P5:P6"/>
    <mergeCell ref="Q5:Q6"/>
    <mergeCell ref="A73:A75"/>
    <mergeCell ref="K5:L5"/>
    <mergeCell ref="M5:M6"/>
    <mergeCell ref="N5:N6"/>
    <mergeCell ref="O5:O6"/>
    <mergeCell ref="B1:R1"/>
    <mergeCell ref="A2:A6"/>
    <mergeCell ref="B2:B6"/>
    <mergeCell ref="C2:C6"/>
    <mergeCell ref="D2:S2"/>
    <mergeCell ref="D3:D6"/>
    <mergeCell ref="E3:S3"/>
    <mergeCell ref="F5:G5"/>
    <mergeCell ref="H5:H6"/>
    <mergeCell ref="I5:J5"/>
    <mergeCell ref="E4:G4"/>
    <mergeCell ref="H4:L4"/>
    <mergeCell ref="M4:N4"/>
    <mergeCell ref="O4:R4"/>
    <mergeCell ref="S4:S6"/>
    <mergeCell ref="E5:E6"/>
  </mergeCells>
  <pageMargins left="0.59055118110236227" right="0.39370078740157483" top="0.39370078740157483" bottom="0.39370078740157483" header="0.31496062992125984" footer="0.31496062992125984"/>
  <pageSetup paperSize="9" scale="45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xSplit="3" ySplit="9" topLeftCell="D10" activePane="bottomRight" state="frozen"/>
      <selection pane="topRight" activeCell="E1" sqref="E1"/>
      <selection pane="bottomLeft" activeCell="A10" sqref="A10"/>
      <selection pane="bottomRight" activeCell="I19" sqref="I19"/>
    </sheetView>
  </sheetViews>
  <sheetFormatPr defaultRowHeight="15" x14ac:dyDescent="0.25"/>
  <cols>
    <col min="1" max="1" width="4.85546875" style="821" customWidth="1"/>
    <col min="2" max="2" width="8.7109375" style="821" customWidth="1"/>
    <col min="3" max="3" width="50" style="821" customWidth="1"/>
    <col min="4" max="7" width="17.85546875" style="821" customWidth="1"/>
    <col min="8" max="8" width="10.28515625" style="821" customWidth="1"/>
    <col min="9" max="16384" width="9.140625" style="821"/>
  </cols>
  <sheetData>
    <row r="1" spans="1:7" ht="49.5" customHeight="1" x14ac:dyDescent="0.25">
      <c r="A1" s="1014" t="s">
        <v>493</v>
      </c>
      <c r="B1" s="1014"/>
      <c r="C1" s="1014"/>
      <c r="D1" s="1014"/>
      <c r="E1" s="1014"/>
      <c r="F1" s="1014"/>
      <c r="G1" s="1014"/>
    </row>
    <row r="2" spans="1:7" ht="27" customHeight="1" x14ac:dyDescent="0.25">
      <c r="A2" s="1015" t="s">
        <v>0</v>
      </c>
      <c r="B2" s="1016" t="s">
        <v>326</v>
      </c>
      <c r="C2" s="1015" t="s">
        <v>309</v>
      </c>
      <c r="D2" s="1018" t="s">
        <v>494</v>
      </c>
      <c r="E2" s="1019"/>
      <c r="F2" s="1019"/>
      <c r="G2" s="1020"/>
    </row>
    <row r="3" spans="1:7" ht="16.5" customHeight="1" x14ac:dyDescent="0.25">
      <c r="A3" s="1015"/>
      <c r="B3" s="1017"/>
      <c r="C3" s="1015"/>
      <c r="D3" s="1018" t="s">
        <v>466</v>
      </c>
      <c r="E3" s="1019"/>
      <c r="F3" s="1019"/>
      <c r="G3" s="1020"/>
    </row>
    <row r="4" spans="1:7" ht="37.5" customHeight="1" x14ac:dyDescent="0.25">
      <c r="A4" s="1015"/>
      <c r="B4" s="1017"/>
      <c r="C4" s="1015"/>
      <c r="D4" s="1011" t="s">
        <v>44</v>
      </c>
      <c r="E4" s="1011" t="s">
        <v>467</v>
      </c>
      <c r="F4" s="1013" t="s">
        <v>49</v>
      </c>
      <c r="G4" s="1013"/>
    </row>
    <row r="5" spans="1:7" ht="27.75" customHeight="1" x14ac:dyDescent="0.25">
      <c r="A5" s="1015"/>
      <c r="B5" s="1017"/>
      <c r="C5" s="1015"/>
      <c r="D5" s="1012"/>
      <c r="E5" s="1012"/>
      <c r="F5" s="822" t="s">
        <v>51</v>
      </c>
      <c r="G5" s="822" t="s">
        <v>50</v>
      </c>
    </row>
    <row r="6" spans="1:7" ht="10.5" customHeight="1" x14ac:dyDescent="0.25">
      <c r="A6" s="823">
        <v>1</v>
      </c>
      <c r="B6" s="823">
        <v>2</v>
      </c>
      <c r="C6" s="823">
        <v>3</v>
      </c>
      <c r="D6" s="824">
        <v>4</v>
      </c>
      <c r="E6" s="824">
        <v>5</v>
      </c>
      <c r="F6" s="824">
        <v>6</v>
      </c>
      <c r="G6" s="824">
        <v>7</v>
      </c>
    </row>
    <row r="7" spans="1:7" x14ac:dyDescent="0.25">
      <c r="A7" s="965" t="s">
        <v>44</v>
      </c>
      <c r="B7" s="965"/>
      <c r="C7" s="965"/>
      <c r="D7" s="825">
        <f>D8+D9</f>
        <v>957832</v>
      </c>
      <c r="E7" s="825">
        <f>E8+E9</f>
        <v>20192</v>
      </c>
      <c r="F7" s="825">
        <f>F8+F9</f>
        <v>134215</v>
      </c>
      <c r="G7" s="825">
        <f t="shared" ref="G7" si="0">G8+G9</f>
        <v>803425</v>
      </c>
    </row>
    <row r="8" spans="1:7" x14ac:dyDescent="0.25">
      <c r="A8" s="966" t="s">
        <v>14</v>
      </c>
      <c r="B8" s="967"/>
      <c r="C8" s="968"/>
      <c r="D8" s="824">
        <f>E8+F8+G8</f>
        <v>0</v>
      </c>
      <c r="E8" s="824">
        <f>'[20]Пос. ср.мед.пер. (Пр.2-26) '!E8+'[20]Уточнение Пр.5-26'!E8</f>
        <v>0</v>
      </c>
      <c r="F8" s="824">
        <f>'[20]Пос. ср.мед.пер. (Пр.2-26) '!F8+'[20]Уточнение Пр.5-26'!F8</f>
        <v>0</v>
      </c>
      <c r="G8" s="824">
        <f>'[20]Пос. ср.мед.пер. (Пр.2-26) '!G8+'[20]Уточнение Пр.5-26'!G8</f>
        <v>0</v>
      </c>
    </row>
    <row r="9" spans="1:7" x14ac:dyDescent="0.25">
      <c r="A9" s="966" t="s">
        <v>15</v>
      </c>
      <c r="B9" s="967"/>
      <c r="C9" s="968"/>
      <c r="D9" s="825">
        <f>SUM(D10:D139)-D90-D35-D73-D74-D76-D77-D78-D83-D86</f>
        <v>957832</v>
      </c>
      <c r="E9" s="825">
        <f t="shared" ref="E9:G9" si="1">SUM(E10:E139)-E90-E35-E73-E74-E76-E77-E78-E83-E86</f>
        <v>20192</v>
      </c>
      <c r="F9" s="825">
        <f t="shared" si="1"/>
        <v>134215</v>
      </c>
      <c r="G9" s="825">
        <f t="shared" si="1"/>
        <v>803425</v>
      </c>
    </row>
    <row r="10" spans="1:7" x14ac:dyDescent="0.25">
      <c r="A10" s="653">
        <v>1</v>
      </c>
      <c r="B10" s="304" t="s">
        <v>54</v>
      </c>
      <c r="C10" s="654" t="s">
        <v>55</v>
      </c>
      <c r="D10" s="824">
        <f>E10+F10+G10</f>
        <v>534</v>
      </c>
      <c r="E10" s="824">
        <v>0</v>
      </c>
      <c r="F10" s="824">
        <v>0</v>
      </c>
      <c r="G10" s="824">
        <v>534</v>
      </c>
    </row>
    <row r="11" spans="1:7" x14ac:dyDescent="0.25">
      <c r="A11" s="653">
        <v>2</v>
      </c>
      <c r="B11" s="655" t="s">
        <v>56</v>
      </c>
      <c r="C11" s="654" t="s">
        <v>57</v>
      </c>
      <c r="D11" s="824">
        <f t="shared" ref="D11:D74" si="2">E11+F11+G11</f>
        <v>6450</v>
      </c>
      <c r="E11" s="824">
        <v>0</v>
      </c>
      <c r="F11" s="824">
        <v>0</v>
      </c>
      <c r="G11" s="824">
        <v>6450</v>
      </c>
    </row>
    <row r="12" spans="1:7" x14ac:dyDescent="0.25">
      <c r="A12" s="653">
        <v>3</v>
      </c>
      <c r="B12" s="656" t="s">
        <v>16</v>
      </c>
      <c r="C12" s="654" t="s">
        <v>17</v>
      </c>
      <c r="D12" s="824">
        <f t="shared" si="2"/>
        <v>22307</v>
      </c>
      <c r="E12" s="824">
        <v>0</v>
      </c>
      <c r="F12" s="824">
        <v>0</v>
      </c>
      <c r="G12" s="824">
        <v>22307</v>
      </c>
    </row>
    <row r="13" spans="1:7" x14ac:dyDescent="0.25">
      <c r="A13" s="653">
        <v>4</v>
      </c>
      <c r="B13" s="304" t="s">
        <v>58</v>
      </c>
      <c r="C13" s="654" t="s">
        <v>59</v>
      </c>
      <c r="D13" s="824">
        <f t="shared" si="2"/>
        <v>6053</v>
      </c>
      <c r="E13" s="824">
        <v>0</v>
      </c>
      <c r="F13" s="824">
        <v>0</v>
      </c>
      <c r="G13" s="824">
        <v>6053</v>
      </c>
    </row>
    <row r="14" spans="1:7" x14ac:dyDescent="0.25">
      <c r="A14" s="653">
        <v>5</v>
      </c>
      <c r="B14" s="304" t="s">
        <v>60</v>
      </c>
      <c r="C14" s="654" t="s">
        <v>61</v>
      </c>
      <c r="D14" s="824">
        <f t="shared" si="2"/>
        <v>6208</v>
      </c>
      <c r="E14" s="824">
        <v>0</v>
      </c>
      <c r="F14" s="824">
        <v>1408</v>
      </c>
      <c r="G14" s="824">
        <v>4800</v>
      </c>
    </row>
    <row r="15" spans="1:7" x14ac:dyDescent="0.25">
      <c r="A15" s="653">
        <v>6</v>
      </c>
      <c r="B15" s="656" t="s">
        <v>18</v>
      </c>
      <c r="C15" s="654" t="s">
        <v>19</v>
      </c>
      <c r="D15" s="824">
        <f t="shared" si="2"/>
        <v>13729</v>
      </c>
      <c r="E15" s="824">
        <v>0</v>
      </c>
      <c r="F15" s="824">
        <v>2171</v>
      </c>
      <c r="G15" s="824">
        <v>11558</v>
      </c>
    </row>
    <row r="16" spans="1:7" x14ac:dyDescent="0.25">
      <c r="A16" s="653">
        <v>7</v>
      </c>
      <c r="B16" s="304" t="s">
        <v>62</v>
      </c>
      <c r="C16" s="654" t="s">
        <v>63</v>
      </c>
      <c r="D16" s="824">
        <f t="shared" si="2"/>
        <v>16111</v>
      </c>
      <c r="E16" s="824">
        <v>0</v>
      </c>
      <c r="F16" s="824">
        <v>1013</v>
      </c>
      <c r="G16" s="824">
        <v>15098</v>
      </c>
    </row>
    <row r="17" spans="1:7" x14ac:dyDescent="0.25">
      <c r="A17" s="653">
        <v>8</v>
      </c>
      <c r="B17" s="656" t="s">
        <v>64</v>
      </c>
      <c r="C17" s="654" t="s">
        <v>65</v>
      </c>
      <c r="D17" s="824">
        <f t="shared" si="2"/>
        <v>9937</v>
      </c>
      <c r="E17" s="824">
        <v>0</v>
      </c>
      <c r="F17" s="824">
        <v>0</v>
      </c>
      <c r="G17" s="824">
        <v>9937</v>
      </c>
    </row>
    <row r="18" spans="1:7" x14ac:dyDescent="0.25">
      <c r="A18" s="653">
        <v>9</v>
      </c>
      <c r="B18" s="656" t="s">
        <v>66</v>
      </c>
      <c r="C18" s="654" t="s">
        <v>67</v>
      </c>
      <c r="D18" s="824">
        <f t="shared" si="2"/>
        <v>6150</v>
      </c>
      <c r="E18" s="824">
        <v>0</v>
      </c>
      <c r="F18" s="824">
        <v>0</v>
      </c>
      <c r="G18" s="824">
        <v>6150</v>
      </c>
    </row>
    <row r="19" spans="1:7" x14ac:dyDescent="0.25">
      <c r="A19" s="653">
        <v>10</v>
      </c>
      <c r="B19" s="656" t="s">
        <v>68</v>
      </c>
      <c r="C19" s="654" t="s">
        <v>69</v>
      </c>
      <c r="D19" s="824">
        <f t="shared" si="2"/>
        <v>13373</v>
      </c>
      <c r="E19" s="824">
        <v>1500</v>
      </c>
      <c r="F19" s="824">
        <v>0</v>
      </c>
      <c r="G19" s="824">
        <v>11873</v>
      </c>
    </row>
    <row r="20" spans="1:7" x14ac:dyDescent="0.25">
      <c r="A20" s="653">
        <v>11</v>
      </c>
      <c r="B20" s="656" t="s">
        <v>70</v>
      </c>
      <c r="C20" s="654" t="s">
        <v>71</v>
      </c>
      <c r="D20" s="824">
        <f t="shared" si="2"/>
        <v>7987</v>
      </c>
      <c r="E20" s="824">
        <v>0</v>
      </c>
      <c r="F20" s="824">
        <v>1816</v>
      </c>
      <c r="G20" s="824">
        <v>6171</v>
      </c>
    </row>
    <row r="21" spans="1:7" x14ac:dyDescent="0.25">
      <c r="A21" s="653">
        <v>12</v>
      </c>
      <c r="B21" s="656" t="s">
        <v>72</v>
      </c>
      <c r="C21" s="654" t="s">
        <v>73</v>
      </c>
      <c r="D21" s="824">
        <f t="shared" si="2"/>
        <v>2971</v>
      </c>
      <c r="E21" s="824">
        <v>0</v>
      </c>
      <c r="F21" s="824">
        <v>1829</v>
      </c>
      <c r="G21" s="824">
        <v>1142</v>
      </c>
    </row>
    <row r="22" spans="1:7" x14ac:dyDescent="0.25">
      <c r="A22" s="653">
        <v>13</v>
      </c>
      <c r="B22" s="656" t="s">
        <v>74</v>
      </c>
      <c r="C22" s="654" t="s">
        <v>75</v>
      </c>
      <c r="D22" s="824">
        <f t="shared" si="2"/>
        <v>0</v>
      </c>
      <c r="E22" s="824">
        <v>0</v>
      </c>
      <c r="F22" s="824">
        <v>0</v>
      </c>
      <c r="G22" s="824">
        <v>0</v>
      </c>
    </row>
    <row r="23" spans="1:7" x14ac:dyDescent="0.25">
      <c r="A23" s="653">
        <v>14</v>
      </c>
      <c r="B23" s="656" t="s">
        <v>76</v>
      </c>
      <c r="C23" s="654" t="s">
        <v>77</v>
      </c>
      <c r="D23" s="824">
        <f t="shared" si="2"/>
        <v>10420</v>
      </c>
      <c r="E23" s="824">
        <v>53</v>
      </c>
      <c r="F23" s="824">
        <v>2183</v>
      </c>
      <c r="G23" s="824">
        <f>11184-3000</f>
        <v>8184</v>
      </c>
    </row>
    <row r="24" spans="1:7" x14ac:dyDescent="0.25">
      <c r="A24" s="653">
        <v>15</v>
      </c>
      <c r="B24" s="656" t="s">
        <v>78</v>
      </c>
      <c r="C24" s="654" t="s">
        <v>79</v>
      </c>
      <c r="D24" s="824">
        <f t="shared" si="2"/>
        <v>13137</v>
      </c>
      <c r="E24" s="824">
        <v>0</v>
      </c>
      <c r="F24" s="824">
        <v>0</v>
      </c>
      <c r="G24" s="824">
        <v>13137</v>
      </c>
    </row>
    <row r="25" spans="1:7" x14ac:dyDescent="0.25">
      <c r="A25" s="653">
        <v>16</v>
      </c>
      <c r="B25" s="656" t="s">
        <v>80</v>
      </c>
      <c r="C25" s="654" t="s">
        <v>81</v>
      </c>
      <c r="D25" s="824">
        <f t="shared" si="2"/>
        <v>12443</v>
      </c>
      <c r="E25" s="824">
        <v>0</v>
      </c>
      <c r="F25" s="824">
        <v>1016</v>
      </c>
      <c r="G25" s="824">
        <v>11427</v>
      </c>
    </row>
    <row r="26" spans="1:7" x14ac:dyDescent="0.25">
      <c r="A26" s="653">
        <v>17</v>
      </c>
      <c r="B26" s="656" t="s">
        <v>20</v>
      </c>
      <c r="C26" s="654" t="s">
        <v>21</v>
      </c>
      <c r="D26" s="824">
        <f t="shared" si="2"/>
        <v>62948</v>
      </c>
      <c r="E26" s="824">
        <v>100</v>
      </c>
      <c r="F26" s="824">
        <v>2163</v>
      </c>
      <c r="G26" s="824">
        <v>60685</v>
      </c>
    </row>
    <row r="27" spans="1:7" x14ac:dyDescent="0.25">
      <c r="A27" s="653">
        <v>18</v>
      </c>
      <c r="B27" s="304" t="s">
        <v>82</v>
      </c>
      <c r="C27" s="654" t="s">
        <v>83</v>
      </c>
      <c r="D27" s="824">
        <f t="shared" si="2"/>
        <v>6130</v>
      </c>
      <c r="E27" s="824">
        <v>0</v>
      </c>
      <c r="F27" s="824">
        <f>2896-300</f>
        <v>2596</v>
      </c>
      <c r="G27" s="824">
        <v>3534</v>
      </c>
    </row>
    <row r="28" spans="1:7" x14ac:dyDescent="0.25">
      <c r="A28" s="653">
        <v>19</v>
      </c>
      <c r="B28" s="304" t="s">
        <v>84</v>
      </c>
      <c r="C28" s="654" t="s">
        <v>85</v>
      </c>
      <c r="D28" s="824">
        <f t="shared" si="2"/>
        <v>455</v>
      </c>
      <c r="E28" s="824">
        <v>37</v>
      </c>
      <c r="F28" s="824">
        <v>0</v>
      </c>
      <c r="G28" s="824">
        <v>418</v>
      </c>
    </row>
    <row r="29" spans="1:7" x14ac:dyDescent="0.25">
      <c r="A29" s="653">
        <v>20</v>
      </c>
      <c r="B29" s="304" t="s">
        <v>86</v>
      </c>
      <c r="C29" s="654" t="s">
        <v>87</v>
      </c>
      <c r="D29" s="824">
        <f t="shared" si="2"/>
        <v>25523</v>
      </c>
      <c r="E29" s="824">
        <v>0</v>
      </c>
      <c r="F29" s="824">
        <v>1692</v>
      </c>
      <c r="G29" s="824">
        <v>23831</v>
      </c>
    </row>
    <row r="30" spans="1:7" x14ac:dyDescent="0.25">
      <c r="A30" s="653">
        <v>21</v>
      </c>
      <c r="B30" s="304" t="s">
        <v>22</v>
      </c>
      <c r="C30" s="654" t="s">
        <v>23</v>
      </c>
      <c r="D30" s="824">
        <f t="shared" si="2"/>
        <v>6071</v>
      </c>
      <c r="E30" s="824">
        <v>0</v>
      </c>
      <c r="F30" s="824">
        <v>1253</v>
      </c>
      <c r="G30" s="824">
        <v>4818</v>
      </c>
    </row>
    <row r="31" spans="1:7" x14ac:dyDescent="0.25">
      <c r="A31" s="653">
        <v>22</v>
      </c>
      <c r="B31" s="656" t="s">
        <v>24</v>
      </c>
      <c r="C31" s="654" t="s">
        <v>25</v>
      </c>
      <c r="D31" s="824">
        <f t="shared" si="2"/>
        <v>2149</v>
      </c>
      <c r="E31" s="824">
        <v>0</v>
      </c>
      <c r="F31" s="824">
        <v>1202</v>
      </c>
      <c r="G31" s="824">
        <v>947</v>
      </c>
    </row>
    <row r="32" spans="1:7" x14ac:dyDescent="0.25">
      <c r="A32" s="653">
        <v>23</v>
      </c>
      <c r="B32" s="656" t="s">
        <v>88</v>
      </c>
      <c r="C32" s="654" t="s">
        <v>89</v>
      </c>
      <c r="D32" s="824">
        <f t="shared" si="2"/>
        <v>0</v>
      </c>
      <c r="E32" s="824">
        <v>0</v>
      </c>
      <c r="F32" s="824">
        <v>0</v>
      </c>
      <c r="G32" s="824">
        <v>0</v>
      </c>
    </row>
    <row r="33" spans="1:7" x14ac:dyDescent="0.25">
      <c r="A33" s="653">
        <v>24</v>
      </c>
      <c r="B33" s="656" t="s">
        <v>90</v>
      </c>
      <c r="C33" s="654" t="s">
        <v>91</v>
      </c>
      <c r="D33" s="824">
        <f t="shared" si="2"/>
        <v>0</v>
      </c>
      <c r="E33" s="824">
        <v>0</v>
      </c>
      <c r="F33" s="824">
        <v>0</v>
      </c>
      <c r="G33" s="824">
        <v>0</v>
      </c>
    </row>
    <row r="34" spans="1:7" x14ac:dyDescent="0.25">
      <c r="A34" s="933">
        <v>25</v>
      </c>
      <c r="B34" s="617" t="s">
        <v>92</v>
      </c>
      <c r="C34" s="56" t="s">
        <v>771</v>
      </c>
      <c r="D34" s="824">
        <f t="shared" si="2"/>
        <v>151473</v>
      </c>
      <c r="E34" s="824">
        <v>5479</v>
      </c>
      <c r="F34" s="824">
        <v>2725</v>
      </c>
      <c r="G34" s="824">
        <v>143269</v>
      </c>
    </row>
    <row r="35" spans="1:7" x14ac:dyDescent="0.25">
      <c r="A35" s="935"/>
      <c r="B35" s="166" t="s">
        <v>94</v>
      </c>
      <c r="C35" s="49" t="s">
        <v>95</v>
      </c>
      <c r="D35" s="824">
        <f t="shared" si="2"/>
        <v>20148</v>
      </c>
      <c r="E35" s="824">
        <v>0</v>
      </c>
      <c r="F35" s="824">
        <v>0</v>
      </c>
      <c r="G35" s="824">
        <v>20148</v>
      </c>
    </row>
    <row r="36" spans="1:7" x14ac:dyDescent="0.25">
      <c r="A36" s="653">
        <v>26</v>
      </c>
      <c r="B36" s="655" t="s">
        <v>96</v>
      </c>
      <c r="C36" s="654" t="s">
        <v>97</v>
      </c>
      <c r="D36" s="824">
        <f t="shared" si="2"/>
        <v>10497</v>
      </c>
      <c r="E36" s="824">
        <v>0</v>
      </c>
      <c r="F36" s="824">
        <v>10497</v>
      </c>
      <c r="G36" s="824">
        <v>0</v>
      </c>
    </row>
    <row r="37" spans="1:7" x14ac:dyDescent="0.25">
      <c r="A37" s="653">
        <v>27</v>
      </c>
      <c r="B37" s="655" t="s">
        <v>26</v>
      </c>
      <c r="C37" s="654" t="s">
        <v>27</v>
      </c>
      <c r="D37" s="824">
        <f t="shared" si="2"/>
        <v>38345</v>
      </c>
      <c r="E37" s="824">
        <v>0</v>
      </c>
      <c r="F37" s="824">
        <v>4470</v>
      </c>
      <c r="G37" s="824">
        <v>33875</v>
      </c>
    </row>
    <row r="38" spans="1:7" x14ac:dyDescent="0.25">
      <c r="A38" s="653">
        <v>28</v>
      </c>
      <c r="B38" s="304" t="s">
        <v>98</v>
      </c>
      <c r="C38" s="654" t="s">
        <v>99</v>
      </c>
      <c r="D38" s="824">
        <f t="shared" si="2"/>
        <v>50028</v>
      </c>
      <c r="E38" s="824">
        <v>6500</v>
      </c>
      <c r="F38" s="824">
        <v>5598</v>
      </c>
      <c r="G38" s="824">
        <v>37930</v>
      </c>
    </row>
    <row r="39" spans="1:7" x14ac:dyDescent="0.25">
      <c r="A39" s="653">
        <v>29</v>
      </c>
      <c r="B39" s="655" t="s">
        <v>100</v>
      </c>
      <c r="C39" s="654" t="s">
        <v>101</v>
      </c>
      <c r="D39" s="824">
        <f t="shared" si="2"/>
        <v>2946</v>
      </c>
      <c r="E39" s="824">
        <v>0</v>
      </c>
      <c r="F39" s="824">
        <v>948</v>
      </c>
      <c r="G39" s="824">
        <v>1998</v>
      </c>
    </row>
    <row r="40" spans="1:7" x14ac:dyDescent="0.25">
      <c r="A40" s="653">
        <v>30</v>
      </c>
      <c r="B40" s="656" t="s">
        <v>102</v>
      </c>
      <c r="C40" s="654" t="s">
        <v>103</v>
      </c>
      <c r="D40" s="824">
        <f t="shared" si="2"/>
        <v>40018</v>
      </c>
      <c r="E40" s="824">
        <v>0</v>
      </c>
      <c r="F40" s="824">
        <v>4470</v>
      </c>
      <c r="G40" s="824">
        <v>35548</v>
      </c>
    </row>
    <row r="41" spans="1:7" x14ac:dyDescent="0.25">
      <c r="A41" s="653">
        <v>31</v>
      </c>
      <c r="B41" s="655" t="s">
        <v>104</v>
      </c>
      <c r="C41" s="654" t="s">
        <v>105</v>
      </c>
      <c r="D41" s="824">
        <f t="shared" si="2"/>
        <v>14832</v>
      </c>
      <c r="E41" s="824">
        <v>324</v>
      </c>
      <c r="F41" s="824">
        <v>989</v>
      </c>
      <c r="G41" s="824">
        <v>13519</v>
      </c>
    </row>
    <row r="42" spans="1:7" x14ac:dyDescent="0.25">
      <c r="A42" s="653">
        <v>32</v>
      </c>
      <c r="B42" s="304" t="s">
        <v>106</v>
      </c>
      <c r="C42" s="654" t="s">
        <v>107</v>
      </c>
      <c r="D42" s="824">
        <f t="shared" si="2"/>
        <v>33381</v>
      </c>
      <c r="E42" s="824">
        <v>0</v>
      </c>
      <c r="F42" s="824">
        <v>7081</v>
      </c>
      <c r="G42" s="824">
        <v>26300</v>
      </c>
    </row>
    <row r="43" spans="1:7" x14ac:dyDescent="0.25">
      <c r="A43" s="653">
        <v>33</v>
      </c>
      <c r="B43" s="657" t="s">
        <v>108</v>
      </c>
      <c r="C43" s="658" t="s">
        <v>109</v>
      </c>
      <c r="D43" s="824">
        <f t="shared" si="2"/>
        <v>12006</v>
      </c>
      <c r="E43" s="824">
        <v>0</v>
      </c>
      <c r="F43" s="824">
        <v>1024</v>
      </c>
      <c r="G43" s="824">
        <v>10982</v>
      </c>
    </row>
    <row r="44" spans="1:7" x14ac:dyDescent="0.25">
      <c r="A44" s="653">
        <v>34</v>
      </c>
      <c r="B44" s="304" t="s">
        <v>110</v>
      </c>
      <c r="C44" s="654" t="s">
        <v>111</v>
      </c>
      <c r="D44" s="824">
        <f t="shared" si="2"/>
        <v>3677</v>
      </c>
      <c r="E44" s="824">
        <v>350</v>
      </c>
      <c r="F44" s="824">
        <v>3111</v>
      </c>
      <c r="G44" s="824">
        <v>216</v>
      </c>
    </row>
    <row r="45" spans="1:7" x14ac:dyDescent="0.25">
      <c r="A45" s="653">
        <v>35</v>
      </c>
      <c r="B45" s="304" t="s">
        <v>112</v>
      </c>
      <c r="C45" s="654" t="s">
        <v>113</v>
      </c>
      <c r="D45" s="824">
        <f t="shared" si="2"/>
        <v>7499</v>
      </c>
      <c r="E45" s="824">
        <v>0</v>
      </c>
      <c r="F45" s="824">
        <v>282</v>
      </c>
      <c r="G45" s="824">
        <v>7217</v>
      </c>
    </row>
    <row r="46" spans="1:7" x14ac:dyDescent="0.25">
      <c r="A46" s="653">
        <v>36</v>
      </c>
      <c r="B46" s="656" t="s">
        <v>114</v>
      </c>
      <c r="C46" s="654" t="s">
        <v>115</v>
      </c>
      <c r="D46" s="824">
        <f t="shared" si="2"/>
        <v>8031</v>
      </c>
      <c r="E46" s="824">
        <v>0</v>
      </c>
      <c r="F46" s="824">
        <v>1626</v>
      </c>
      <c r="G46" s="824">
        <v>6405</v>
      </c>
    </row>
    <row r="47" spans="1:7" x14ac:dyDescent="0.25">
      <c r="A47" s="653">
        <v>37</v>
      </c>
      <c r="B47" s="655" t="s">
        <v>116</v>
      </c>
      <c r="C47" s="654" t="s">
        <v>117</v>
      </c>
      <c r="D47" s="824">
        <f t="shared" si="2"/>
        <v>0</v>
      </c>
      <c r="E47" s="824">
        <v>0</v>
      </c>
      <c r="F47" s="824">
        <v>0</v>
      </c>
      <c r="G47" s="824">
        <v>0</v>
      </c>
    </row>
    <row r="48" spans="1:7" x14ac:dyDescent="0.25">
      <c r="A48" s="653">
        <v>38</v>
      </c>
      <c r="B48" s="656" t="s">
        <v>28</v>
      </c>
      <c r="C48" s="654" t="s">
        <v>29</v>
      </c>
      <c r="D48" s="824">
        <f t="shared" si="2"/>
        <v>18535</v>
      </c>
      <c r="E48" s="824">
        <v>1765</v>
      </c>
      <c r="F48" s="824">
        <v>11068</v>
      </c>
      <c r="G48" s="824">
        <v>5702</v>
      </c>
    </row>
    <row r="49" spans="1:7" x14ac:dyDescent="0.25">
      <c r="A49" s="653">
        <v>39</v>
      </c>
      <c r="B49" s="304" t="s">
        <v>118</v>
      </c>
      <c r="C49" s="654" t="s">
        <v>119</v>
      </c>
      <c r="D49" s="824">
        <f t="shared" si="2"/>
        <v>7603</v>
      </c>
      <c r="E49" s="824">
        <v>188</v>
      </c>
      <c r="F49" s="824">
        <v>0</v>
      </c>
      <c r="G49" s="824">
        <v>7415</v>
      </c>
    </row>
    <row r="50" spans="1:7" x14ac:dyDescent="0.25">
      <c r="A50" s="653">
        <v>40</v>
      </c>
      <c r="B50" s="304" t="s">
        <v>120</v>
      </c>
      <c r="C50" s="654" t="s">
        <v>121</v>
      </c>
      <c r="D50" s="824">
        <f t="shared" si="2"/>
        <v>10152</v>
      </c>
      <c r="E50" s="824">
        <v>0</v>
      </c>
      <c r="F50" s="824">
        <v>0</v>
      </c>
      <c r="G50" s="824">
        <v>10152</v>
      </c>
    </row>
    <row r="51" spans="1:7" x14ac:dyDescent="0.25">
      <c r="A51" s="653">
        <v>41</v>
      </c>
      <c r="B51" s="656" t="s">
        <v>122</v>
      </c>
      <c r="C51" s="654" t="s">
        <v>123</v>
      </c>
      <c r="D51" s="824">
        <f t="shared" si="2"/>
        <v>4379</v>
      </c>
      <c r="E51" s="824">
        <v>0</v>
      </c>
      <c r="F51" s="824">
        <v>0</v>
      </c>
      <c r="G51" s="824">
        <v>4379</v>
      </c>
    </row>
    <row r="52" spans="1:7" x14ac:dyDescent="0.25">
      <c r="A52" s="653">
        <v>42</v>
      </c>
      <c r="B52" s="655" t="s">
        <v>124</v>
      </c>
      <c r="C52" s="654" t="s">
        <v>125</v>
      </c>
      <c r="D52" s="824">
        <f t="shared" si="2"/>
        <v>6849</v>
      </c>
      <c r="E52" s="824">
        <v>480</v>
      </c>
      <c r="F52" s="824">
        <v>0</v>
      </c>
      <c r="G52" s="824">
        <v>6369</v>
      </c>
    </row>
    <row r="53" spans="1:7" x14ac:dyDescent="0.25">
      <c r="A53" s="653">
        <v>43</v>
      </c>
      <c r="B53" s="656" t="s">
        <v>126</v>
      </c>
      <c r="C53" s="654" t="s">
        <v>127</v>
      </c>
      <c r="D53" s="824">
        <f t="shared" si="2"/>
        <v>13904</v>
      </c>
      <c r="E53" s="824">
        <v>0</v>
      </c>
      <c r="F53" s="824">
        <v>1528</v>
      </c>
      <c r="G53" s="824">
        <v>12376</v>
      </c>
    </row>
    <row r="54" spans="1:7" x14ac:dyDescent="0.25">
      <c r="A54" s="653">
        <v>44</v>
      </c>
      <c r="B54" s="655" t="s">
        <v>128</v>
      </c>
      <c r="C54" s="654" t="s">
        <v>129</v>
      </c>
      <c r="D54" s="824">
        <f t="shared" si="2"/>
        <v>784</v>
      </c>
      <c r="E54" s="824">
        <v>0</v>
      </c>
      <c r="F54" s="824">
        <v>0</v>
      </c>
      <c r="G54" s="824">
        <v>784</v>
      </c>
    </row>
    <row r="55" spans="1:7" x14ac:dyDescent="0.25">
      <c r="A55" s="653">
        <v>45</v>
      </c>
      <c r="B55" s="656" t="s">
        <v>130</v>
      </c>
      <c r="C55" s="654" t="s">
        <v>131</v>
      </c>
      <c r="D55" s="824">
        <f t="shared" si="2"/>
        <v>1884</v>
      </c>
      <c r="E55" s="824">
        <v>0</v>
      </c>
      <c r="F55" s="824">
        <v>0</v>
      </c>
      <c r="G55" s="824">
        <v>1884</v>
      </c>
    </row>
    <row r="56" spans="1:7" x14ac:dyDescent="0.25">
      <c r="A56" s="653">
        <v>46</v>
      </c>
      <c r="B56" s="655" t="s">
        <v>132</v>
      </c>
      <c r="C56" s="654" t="s">
        <v>133</v>
      </c>
      <c r="D56" s="824">
        <f t="shared" si="2"/>
        <v>11490</v>
      </c>
      <c r="E56" s="824">
        <v>0</v>
      </c>
      <c r="F56" s="824">
        <v>1983</v>
      </c>
      <c r="G56" s="824">
        <v>9507</v>
      </c>
    </row>
    <row r="57" spans="1:7" x14ac:dyDescent="0.25">
      <c r="A57" s="653">
        <v>47</v>
      </c>
      <c r="B57" s="656" t="s">
        <v>134</v>
      </c>
      <c r="C57" s="654" t="s">
        <v>135</v>
      </c>
      <c r="D57" s="824">
        <f t="shared" si="2"/>
        <v>11301</v>
      </c>
      <c r="E57" s="824">
        <v>0</v>
      </c>
      <c r="F57" s="824">
        <v>699</v>
      </c>
      <c r="G57" s="824">
        <v>10602</v>
      </c>
    </row>
    <row r="58" spans="1:7" x14ac:dyDescent="0.25">
      <c r="A58" s="653">
        <v>48</v>
      </c>
      <c r="B58" s="656" t="s">
        <v>136</v>
      </c>
      <c r="C58" s="654" t="s">
        <v>137</v>
      </c>
      <c r="D58" s="824">
        <f t="shared" si="2"/>
        <v>33569</v>
      </c>
      <c r="E58" s="824">
        <v>0</v>
      </c>
      <c r="F58" s="824">
        <v>249</v>
      </c>
      <c r="G58" s="824">
        <v>33320</v>
      </c>
    </row>
    <row r="59" spans="1:7" x14ac:dyDescent="0.25">
      <c r="A59" s="653">
        <v>49</v>
      </c>
      <c r="B59" s="656" t="s">
        <v>138</v>
      </c>
      <c r="C59" s="654" t="s">
        <v>139</v>
      </c>
      <c r="D59" s="824">
        <f t="shared" si="2"/>
        <v>7525</v>
      </c>
      <c r="E59" s="824">
        <v>0</v>
      </c>
      <c r="F59" s="824">
        <v>1174</v>
      </c>
      <c r="G59" s="824">
        <v>6351</v>
      </c>
    </row>
    <row r="60" spans="1:7" x14ac:dyDescent="0.25">
      <c r="A60" s="653">
        <v>50</v>
      </c>
      <c r="B60" s="656" t="s">
        <v>140</v>
      </c>
      <c r="C60" s="654" t="s">
        <v>141</v>
      </c>
      <c r="D60" s="824">
        <f t="shared" si="2"/>
        <v>8496</v>
      </c>
      <c r="E60" s="824">
        <v>0</v>
      </c>
      <c r="F60" s="824">
        <v>1392</v>
      </c>
      <c r="G60" s="824">
        <v>7104</v>
      </c>
    </row>
    <row r="61" spans="1:7" x14ac:dyDescent="0.25">
      <c r="A61" s="653">
        <v>51</v>
      </c>
      <c r="B61" s="655" t="s">
        <v>142</v>
      </c>
      <c r="C61" s="654" t="s">
        <v>143</v>
      </c>
      <c r="D61" s="824">
        <f t="shared" si="2"/>
        <v>9554</v>
      </c>
      <c r="E61" s="824">
        <v>0</v>
      </c>
      <c r="F61" s="824">
        <v>1165</v>
      </c>
      <c r="G61" s="824">
        <v>8389</v>
      </c>
    </row>
    <row r="62" spans="1:7" x14ac:dyDescent="0.25">
      <c r="A62" s="653">
        <v>52</v>
      </c>
      <c r="B62" s="656" t="s">
        <v>144</v>
      </c>
      <c r="C62" s="654" t="s">
        <v>145</v>
      </c>
      <c r="D62" s="824">
        <f t="shared" si="2"/>
        <v>0</v>
      </c>
      <c r="E62" s="824">
        <v>0</v>
      </c>
      <c r="F62" s="824">
        <v>0</v>
      </c>
      <c r="G62" s="824">
        <v>0</v>
      </c>
    </row>
    <row r="63" spans="1:7" x14ac:dyDescent="0.25">
      <c r="A63" s="653">
        <v>53</v>
      </c>
      <c r="B63" s="656" t="s">
        <v>146</v>
      </c>
      <c r="C63" s="654" t="s">
        <v>147</v>
      </c>
      <c r="D63" s="824">
        <f t="shared" si="2"/>
        <v>0</v>
      </c>
      <c r="E63" s="824">
        <v>0</v>
      </c>
      <c r="F63" s="824">
        <v>0</v>
      </c>
      <c r="G63" s="824">
        <v>0</v>
      </c>
    </row>
    <row r="64" spans="1:7" x14ac:dyDescent="0.25">
      <c r="A64" s="653">
        <v>54</v>
      </c>
      <c r="B64" s="656" t="s">
        <v>148</v>
      </c>
      <c r="C64" s="654" t="s">
        <v>149</v>
      </c>
      <c r="D64" s="824">
        <f t="shared" si="2"/>
        <v>0</v>
      </c>
      <c r="E64" s="824">
        <v>0</v>
      </c>
      <c r="F64" s="824">
        <v>0</v>
      </c>
      <c r="G64" s="824">
        <v>0</v>
      </c>
    </row>
    <row r="65" spans="1:7" x14ac:dyDescent="0.25">
      <c r="A65" s="653">
        <v>55</v>
      </c>
      <c r="B65" s="655" t="s">
        <v>150</v>
      </c>
      <c r="C65" s="654" t="s">
        <v>151</v>
      </c>
      <c r="D65" s="824">
        <f t="shared" si="2"/>
        <v>0</v>
      </c>
      <c r="E65" s="824">
        <v>0</v>
      </c>
      <c r="F65" s="824">
        <v>0</v>
      </c>
      <c r="G65" s="824">
        <v>0</v>
      </c>
    </row>
    <row r="66" spans="1:7" x14ac:dyDescent="0.25">
      <c r="A66" s="653">
        <v>56</v>
      </c>
      <c r="B66" s="655" t="s">
        <v>154</v>
      </c>
      <c r="C66" s="654" t="s">
        <v>155</v>
      </c>
      <c r="D66" s="824">
        <f t="shared" si="2"/>
        <v>0</v>
      </c>
      <c r="E66" s="824">
        <v>0</v>
      </c>
      <c r="F66" s="824">
        <v>0</v>
      </c>
      <c r="G66" s="824">
        <v>0</v>
      </c>
    </row>
    <row r="67" spans="1:7" x14ac:dyDescent="0.25">
      <c r="A67" s="653">
        <v>57</v>
      </c>
      <c r="B67" s="304" t="s">
        <v>158</v>
      </c>
      <c r="C67" s="654" t="s">
        <v>159</v>
      </c>
      <c r="D67" s="824">
        <f t="shared" si="2"/>
        <v>3479</v>
      </c>
      <c r="E67" s="824">
        <v>0</v>
      </c>
      <c r="F67" s="824">
        <v>3479</v>
      </c>
      <c r="G67" s="824">
        <v>0</v>
      </c>
    </row>
    <row r="68" spans="1:7" x14ac:dyDescent="0.25">
      <c r="A68" s="653">
        <v>58</v>
      </c>
      <c r="B68" s="304" t="s">
        <v>160</v>
      </c>
      <c r="C68" s="654" t="s">
        <v>161</v>
      </c>
      <c r="D68" s="824">
        <f t="shared" si="2"/>
        <v>8078</v>
      </c>
      <c r="E68" s="824">
        <v>0</v>
      </c>
      <c r="F68" s="824">
        <v>8078</v>
      </c>
      <c r="G68" s="824">
        <v>0</v>
      </c>
    </row>
    <row r="69" spans="1:7" x14ac:dyDescent="0.25">
      <c r="A69" s="653">
        <v>59</v>
      </c>
      <c r="B69" s="655" t="s">
        <v>162</v>
      </c>
      <c r="C69" s="654" t="s">
        <v>163</v>
      </c>
      <c r="D69" s="824">
        <f t="shared" si="2"/>
        <v>991</v>
      </c>
      <c r="E69" s="824">
        <v>0</v>
      </c>
      <c r="F69" s="824">
        <v>0</v>
      </c>
      <c r="G69" s="824">
        <v>991</v>
      </c>
    </row>
    <row r="70" spans="1:7" x14ac:dyDescent="0.25">
      <c r="A70" s="653">
        <v>60</v>
      </c>
      <c r="B70" s="655" t="s">
        <v>164</v>
      </c>
      <c r="C70" s="654" t="s">
        <v>165</v>
      </c>
      <c r="D70" s="824">
        <f t="shared" si="2"/>
        <v>0</v>
      </c>
      <c r="E70" s="824">
        <v>0</v>
      </c>
      <c r="F70" s="824">
        <v>0</v>
      </c>
      <c r="G70" s="824">
        <v>0</v>
      </c>
    </row>
    <row r="71" spans="1:7" x14ac:dyDescent="0.25">
      <c r="A71" s="653">
        <v>61</v>
      </c>
      <c r="B71" s="655" t="s">
        <v>166</v>
      </c>
      <c r="C71" s="654" t="s">
        <v>167</v>
      </c>
      <c r="D71" s="824">
        <f t="shared" si="2"/>
        <v>0</v>
      </c>
      <c r="E71" s="824">
        <v>0</v>
      </c>
      <c r="F71" s="824">
        <v>0</v>
      </c>
      <c r="G71" s="824">
        <v>0</v>
      </c>
    </row>
    <row r="72" spans="1:7" ht="24" x14ac:dyDescent="0.25">
      <c r="A72" s="894">
        <v>62</v>
      </c>
      <c r="B72" s="48" t="s">
        <v>170</v>
      </c>
      <c r="C72" s="56" t="s">
        <v>770</v>
      </c>
      <c r="D72" s="824">
        <f t="shared" si="2"/>
        <v>320</v>
      </c>
      <c r="E72" s="824">
        <v>0</v>
      </c>
      <c r="F72" s="824">
        <v>320</v>
      </c>
      <c r="G72" s="824">
        <v>0</v>
      </c>
    </row>
    <row r="73" spans="1:7" x14ac:dyDescent="0.25">
      <c r="A73" s="895"/>
      <c r="B73" s="51" t="s">
        <v>168</v>
      </c>
      <c r="C73" s="49" t="s">
        <v>169</v>
      </c>
      <c r="D73" s="824">
        <f t="shared" si="2"/>
        <v>0</v>
      </c>
      <c r="E73" s="824">
        <v>0</v>
      </c>
      <c r="F73" s="824">
        <v>0</v>
      </c>
      <c r="G73" s="824">
        <v>0</v>
      </c>
    </row>
    <row r="74" spans="1:7" x14ac:dyDescent="0.25">
      <c r="A74" s="896"/>
      <c r="B74" s="51" t="s">
        <v>174</v>
      </c>
      <c r="C74" s="49" t="s">
        <v>175</v>
      </c>
      <c r="D74" s="824">
        <f t="shared" si="2"/>
        <v>0</v>
      </c>
      <c r="E74" s="824">
        <v>0</v>
      </c>
      <c r="F74" s="824">
        <v>0</v>
      </c>
      <c r="G74" s="824">
        <v>0</v>
      </c>
    </row>
    <row r="75" spans="1:7" ht="24" x14ac:dyDescent="0.25">
      <c r="A75" s="894">
        <v>63</v>
      </c>
      <c r="B75" s="617" t="s">
        <v>176</v>
      </c>
      <c r="C75" s="56" t="s">
        <v>773</v>
      </c>
      <c r="D75" s="824">
        <f>E75+F75+G75</f>
        <v>5062</v>
      </c>
      <c r="E75" s="824">
        <v>0</v>
      </c>
      <c r="F75" s="824">
        <v>5062</v>
      </c>
      <c r="G75" s="824">
        <v>0</v>
      </c>
    </row>
    <row r="76" spans="1:7" x14ac:dyDescent="0.25">
      <c r="A76" s="895"/>
      <c r="B76" s="51" t="s">
        <v>172</v>
      </c>
      <c r="C76" s="49" t="s">
        <v>173</v>
      </c>
      <c r="D76" s="824">
        <f>E76+F76+G76</f>
        <v>48</v>
      </c>
      <c r="E76" s="824"/>
      <c r="F76" s="824">
        <v>48</v>
      </c>
      <c r="G76" s="824"/>
    </row>
    <row r="77" spans="1:7" x14ac:dyDescent="0.25">
      <c r="A77" s="895"/>
      <c r="B77" s="48" t="s">
        <v>178</v>
      </c>
      <c r="C77" s="49" t="s">
        <v>179</v>
      </c>
      <c r="D77" s="824">
        <f t="shared" ref="D77:D143" si="3">E77+F77+G77</f>
        <v>612</v>
      </c>
      <c r="E77" s="824">
        <v>0</v>
      </c>
      <c r="F77" s="824">
        <v>612</v>
      </c>
      <c r="G77" s="824">
        <v>0</v>
      </c>
    </row>
    <row r="78" spans="1:7" x14ac:dyDescent="0.25">
      <c r="A78" s="896"/>
      <c r="B78" s="48" t="s">
        <v>180</v>
      </c>
      <c r="C78" s="49" t="s">
        <v>181</v>
      </c>
      <c r="D78" s="824">
        <f t="shared" si="3"/>
        <v>257</v>
      </c>
      <c r="E78" s="824">
        <v>0</v>
      </c>
      <c r="F78" s="824">
        <v>257</v>
      </c>
      <c r="G78" s="824">
        <v>0</v>
      </c>
    </row>
    <row r="79" spans="1:7" x14ac:dyDescent="0.25">
      <c r="A79" s="653">
        <v>64</v>
      </c>
      <c r="B79" s="656" t="s">
        <v>182</v>
      </c>
      <c r="C79" s="654" t="s">
        <v>183</v>
      </c>
      <c r="D79" s="824">
        <f t="shared" si="3"/>
        <v>12593</v>
      </c>
      <c r="E79" s="824">
        <v>0</v>
      </c>
      <c r="F79" s="824">
        <v>3905</v>
      </c>
      <c r="G79" s="824">
        <v>8688</v>
      </c>
    </row>
    <row r="80" spans="1:7" x14ac:dyDescent="0.25">
      <c r="A80" s="653">
        <v>65</v>
      </c>
      <c r="B80" s="304" t="s">
        <v>184</v>
      </c>
      <c r="C80" s="654" t="s">
        <v>185</v>
      </c>
      <c r="D80" s="824">
        <f t="shared" si="3"/>
        <v>5933</v>
      </c>
      <c r="E80" s="824">
        <v>0</v>
      </c>
      <c r="F80" s="824">
        <v>0</v>
      </c>
      <c r="G80" s="824">
        <v>5933</v>
      </c>
    </row>
    <row r="81" spans="1:7" x14ac:dyDescent="0.25">
      <c r="A81" s="653">
        <v>66</v>
      </c>
      <c r="B81" s="656" t="s">
        <v>186</v>
      </c>
      <c r="C81" s="654" t="s">
        <v>187</v>
      </c>
      <c r="D81" s="824">
        <f t="shared" si="3"/>
        <v>5586</v>
      </c>
      <c r="E81" s="824">
        <v>0</v>
      </c>
      <c r="F81" s="824">
        <v>1445</v>
      </c>
      <c r="G81" s="824">
        <v>4141</v>
      </c>
    </row>
    <row r="82" spans="1:7" x14ac:dyDescent="0.25">
      <c r="A82" s="894">
        <v>67</v>
      </c>
      <c r="B82" s="617" t="s">
        <v>188</v>
      </c>
      <c r="C82" s="56" t="s">
        <v>777</v>
      </c>
      <c r="D82" s="824">
        <f t="shared" si="3"/>
        <v>7147</v>
      </c>
      <c r="E82" s="824">
        <v>0</v>
      </c>
      <c r="F82" s="824">
        <v>948</v>
      </c>
      <c r="G82" s="824">
        <v>6199</v>
      </c>
    </row>
    <row r="83" spans="1:7" x14ac:dyDescent="0.25">
      <c r="A83" s="896"/>
      <c r="B83" s="166" t="s">
        <v>156</v>
      </c>
      <c r="C83" s="49" t="s">
        <v>157</v>
      </c>
      <c r="D83" s="824">
        <f t="shared" si="3"/>
        <v>1733</v>
      </c>
      <c r="E83" s="824">
        <v>0</v>
      </c>
      <c r="F83" s="824">
        <v>0</v>
      </c>
      <c r="G83" s="824">
        <v>1733</v>
      </c>
    </row>
    <row r="84" spans="1:7" x14ac:dyDescent="0.25">
      <c r="A84" s="653">
        <v>68</v>
      </c>
      <c r="B84" s="304" t="s">
        <v>190</v>
      </c>
      <c r="C84" s="654" t="s">
        <v>191</v>
      </c>
      <c r="D84" s="824">
        <f t="shared" si="3"/>
        <v>19003</v>
      </c>
      <c r="E84" s="824">
        <v>1000</v>
      </c>
      <c r="F84" s="824">
        <v>0</v>
      </c>
      <c r="G84" s="824">
        <v>18003</v>
      </c>
    </row>
    <row r="85" spans="1:7" x14ac:dyDescent="0.25">
      <c r="A85" s="894">
        <v>69</v>
      </c>
      <c r="B85" s="617" t="s">
        <v>192</v>
      </c>
      <c r="C85" s="56" t="s">
        <v>772</v>
      </c>
      <c r="D85" s="824">
        <f t="shared" si="3"/>
        <v>6181</v>
      </c>
      <c r="E85" s="824">
        <v>0</v>
      </c>
      <c r="F85" s="824">
        <v>4229</v>
      </c>
      <c r="G85" s="824">
        <v>1952</v>
      </c>
    </row>
    <row r="86" spans="1:7" x14ac:dyDescent="0.25">
      <c r="A86" s="896"/>
      <c r="B86" s="48" t="s">
        <v>152</v>
      </c>
      <c r="C86" s="49" t="s">
        <v>153</v>
      </c>
      <c r="D86" s="824">
        <f t="shared" si="3"/>
        <v>2061</v>
      </c>
      <c r="E86" s="824">
        <v>0</v>
      </c>
      <c r="F86" s="824">
        <v>1410</v>
      </c>
      <c r="G86" s="824">
        <v>651</v>
      </c>
    </row>
    <row r="87" spans="1:7" x14ac:dyDescent="0.25">
      <c r="A87" s="653">
        <v>70</v>
      </c>
      <c r="B87" s="304" t="s">
        <v>194</v>
      </c>
      <c r="C87" s="654" t="s">
        <v>195</v>
      </c>
      <c r="D87" s="824">
        <f t="shared" si="3"/>
        <v>1771</v>
      </c>
      <c r="E87" s="824">
        <v>0</v>
      </c>
      <c r="F87" s="824">
        <v>0</v>
      </c>
      <c r="G87" s="824">
        <v>1771</v>
      </c>
    </row>
    <row r="88" spans="1:7" x14ac:dyDescent="0.25">
      <c r="A88" s="653">
        <v>71</v>
      </c>
      <c r="B88" s="304" t="s">
        <v>196</v>
      </c>
      <c r="C88" s="654" t="s">
        <v>197</v>
      </c>
      <c r="D88" s="824">
        <f t="shared" si="3"/>
        <v>0</v>
      </c>
      <c r="E88" s="824">
        <v>0</v>
      </c>
      <c r="F88" s="824">
        <v>0</v>
      </c>
      <c r="G88" s="824">
        <v>0</v>
      </c>
    </row>
    <row r="89" spans="1:7" x14ac:dyDescent="0.25">
      <c r="A89" s="653">
        <v>72</v>
      </c>
      <c r="B89" s="655" t="s">
        <v>30</v>
      </c>
      <c r="C89" s="654" t="s">
        <v>198</v>
      </c>
      <c r="D89" s="824">
        <f t="shared" si="3"/>
        <v>0</v>
      </c>
      <c r="E89" s="824">
        <v>0</v>
      </c>
      <c r="F89" s="824">
        <v>0</v>
      </c>
      <c r="G89" s="824">
        <v>0</v>
      </c>
    </row>
    <row r="90" spans="1:7" x14ac:dyDescent="0.25">
      <c r="A90" s="1021">
        <v>73</v>
      </c>
      <c r="B90" s="1024" t="s">
        <v>199</v>
      </c>
      <c r="C90" s="659" t="s">
        <v>200</v>
      </c>
      <c r="D90" s="824">
        <f t="shared" si="3"/>
        <v>0</v>
      </c>
      <c r="E90" s="824">
        <v>0</v>
      </c>
      <c r="F90" s="824">
        <v>0</v>
      </c>
      <c r="G90" s="824">
        <v>0</v>
      </c>
    </row>
    <row r="91" spans="1:7" ht="22.5" x14ac:dyDescent="0.25">
      <c r="A91" s="1022"/>
      <c r="B91" s="1025"/>
      <c r="C91" s="654" t="s">
        <v>201</v>
      </c>
      <c r="D91" s="824">
        <f t="shared" si="3"/>
        <v>0</v>
      </c>
      <c r="E91" s="824">
        <v>0</v>
      </c>
      <c r="F91" s="824">
        <v>0</v>
      </c>
      <c r="G91" s="824">
        <v>0</v>
      </c>
    </row>
    <row r="92" spans="1:7" x14ac:dyDescent="0.25">
      <c r="A92" s="1022"/>
      <c r="B92" s="1025"/>
      <c r="C92" s="654" t="s">
        <v>202</v>
      </c>
      <c r="D92" s="824">
        <f t="shared" si="3"/>
        <v>0</v>
      </c>
      <c r="E92" s="824">
        <v>0</v>
      </c>
      <c r="F92" s="824">
        <v>0</v>
      </c>
      <c r="G92" s="824">
        <v>0</v>
      </c>
    </row>
    <row r="93" spans="1:7" ht="22.5" x14ac:dyDescent="0.25">
      <c r="A93" s="1023"/>
      <c r="B93" s="1026"/>
      <c r="C93" s="660" t="s">
        <v>203</v>
      </c>
      <c r="D93" s="824">
        <f t="shared" si="3"/>
        <v>0</v>
      </c>
      <c r="E93" s="824">
        <v>0</v>
      </c>
      <c r="F93" s="824">
        <v>0</v>
      </c>
      <c r="G93" s="824">
        <v>0</v>
      </c>
    </row>
    <row r="94" spans="1:7" x14ac:dyDescent="0.25">
      <c r="A94" s="653">
        <v>74</v>
      </c>
      <c r="B94" s="655" t="s">
        <v>204</v>
      </c>
      <c r="C94" s="654" t="s">
        <v>205</v>
      </c>
      <c r="D94" s="824">
        <f t="shared" si="3"/>
        <v>0</v>
      </c>
      <c r="E94" s="824">
        <v>0</v>
      </c>
      <c r="F94" s="824">
        <v>0</v>
      </c>
      <c r="G94" s="824">
        <v>0</v>
      </c>
    </row>
    <row r="95" spans="1:7" x14ac:dyDescent="0.25">
      <c r="A95" s="653">
        <v>75</v>
      </c>
      <c r="B95" s="655" t="s">
        <v>206</v>
      </c>
      <c r="C95" s="654" t="s">
        <v>207</v>
      </c>
      <c r="D95" s="824">
        <f t="shared" si="3"/>
        <v>0</v>
      </c>
      <c r="E95" s="824">
        <v>0</v>
      </c>
      <c r="F95" s="824">
        <v>0</v>
      </c>
      <c r="G95" s="824">
        <v>0</v>
      </c>
    </row>
    <row r="96" spans="1:7" x14ac:dyDescent="0.25">
      <c r="A96" s="653">
        <v>76</v>
      </c>
      <c r="B96" s="656" t="s">
        <v>208</v>
      </c>
      <c r="C96" s="654" t="s">
        <v>209</v>
      </c>
      <c r="D96" s="824">
        <f t="shared" si="3"/>
        <v>5213</v>
      </c>
      <c r="E96" s="824">
        <v>0</v>
      </c>
      <c r="F96" s="824">
        <v>1500</v>
      </c>
      <c r="G96" s="824">
        <v>3713</v>
      </c>
    </row>
    <row r="97" spans="1:7" x14ac:dyDescent="0.25">
      <c r="A97" s="653">
        <v>77</v>
      </c>
      <c r="B97" s="655" t="s">
        <v>210</v>
      </c>
      <c r="C97" s="654" t="s">
        <v>211</v>
      </c>
      <c r="D97" s="824">
        <f t="shared" si="3"/>
        <v>870</v>
      </c>
      <c r="E97" s="824">
        <v>0</v>
      </c>
      <c r="F97" s="824">
        <v>688</v>
      </c>
      <c r="G97" s="824">
        <v>182</v>
      </c>
    </row>
    <row r="98" spans="1:7" x14ac:dyDescent="0.25">
      <c r="A98" s="653">
        <v>78</v>
      </c>
      <c r="B98" s="656" t="s">
        <v>212</v>
      </c>
      <c r="C98" s="654" t="s">
        <v>213</v>
      </c>
      <c r="D98" s="824">
        <f t="shared" si="3"/>
        <v>3174</v>
      </c>
      <c r="E98" s="824">
        <v>0</v>
      </c>
      <c r="F98" s="824">
        <f>993-993</f>
        <v>0</v>
      </c>
      <c r="G98" s="824">
        <v>3174</v>
      </c>
    </row>
    <row r="99" spans="1:7" x14ac:dyDescent="0.25">
      <c r="A99" s="653">
        <v>79</v>
      </c>
      <c r="B99" s="656" t="s">
        <v>214</v>
      </c>
      <c r="C99" s="654" t="s">
        <v>215</v>
      </c>
      <c r="D99" s="824">
        <f t="shared" si="3"/>
        <v>9980</v>
      </c>
      <c r="E99" s="824">
        <v>0</v>
      </c>
      <c r="F99" s="824">
        <v>1301</v>
      </c>
      <c r="G99" s="824">
        <v>8679</v>
      </c>
    </row>
    <row r="100" spans="1:7" x14ac:dyDescent="0.25">
      <c r="A100" s="653">
        <v>80</v>
      </c>
      <c r="B100" s="655" t="s">
        <v>216</v>
      </c>
      <c r="C100" s="654" t="s">
        <v>217</v>
      </c>
      <c r="D100" s="824">
        <f t="shared" si="3"/>
        <v>8183</v>
      </c>
      <c r="E100" s="824">
        <v>0</v>
      </c>
      <c r="F100" s="824">
        <v>0</v>
      </c>
      <c r="G100" s="824">
        <v>8183</v>
      </c>
    </row>
    <row r="101" spans="1:7" x14ac:dyDescent="0.25">
      <c r="A101" s="653">
        <v>81</v>
      </c>
      <c r="B101" s="304" t="s">
        <v>218</v>
      </c>
      <c r="C101" s="654" t="s">
        <v>219</v>
      </c>
      <c r="D101" s="824">
        <f t="shared" si="3"/>
        <v>26781</v>
      </c>
      <c r="E101" s="824">
        <v>0</v>
      </c>
      <c r="F101" s="824">
        <v>4898</v>
      </c>
      <c r="G101" s="824">
        <v>21883</v>
      </c>
    </row>
    <row r="102" spans="1:7" x14ac:dyDescent="0.25">
      <c r="A102" s="653">
        <v>82</v>
      </c>
      <c r="B102" s="304" t="s">
        <v>220</v>
      </c>
      <c r="C102" s="654" t="s">
        <v>221</v>
      </c>
      <c r="D102" s="824">
        <f t="shared" si="3"/>
        <v>5060</v>
      </c>
      <c r="E102" s="824">
        <v>0</v>
      </c>
      <c r="F102" s="824">
        <v>4891</v>
      </c>
      <c r="G102" s="824">
        <v>169</v>
      </c>
    </row>
    <row r="103" spans="1:7" x14ac:dyDescent="0.25">
      <c r="A103" s="653">
        <v>83</v>
      </c>
      <c r="B103" s="656" t="s">
        <v>222</v>
      </c>
      <c r="C103" s="654" t="s">
        <v>223</v>
      </c>
      <c r="D103" s="824">
        <f t="shared" si="3"/>
        <v>3488</v>
      </c>
      <c r="E103" s="824">
        <v>0</v>
      </c>
      <c r="F103" s="824">
        <v>2304</v>
      </c>
      <c r="G103" s="824">
        <v>1184</v>
      </c>
    </row>
    <row r="104" spans="1:7" x14ac:dyDescent="0.25">
      <c r="A104" s="653">
        <v>84</v>
      </c>
      <c r="B104" s="304" t="s">
        <v>224</v>
      </c>
      <c r="C104" s="654" t="s">
        <v>225</v>
      </c>
      <c r="D104" s="824">
        <f t="shared" si="3"/>
        <v>4285</v>
      </c>
      <c r="E104" s="824">
        <v>550</v>
      </c>
      <c r="F104" s="824">
        <v>0</v>
      </c>
      <c r="G104" s="824">
        <v>3735</v>
      </c>
    </row>
    <row r="105" spans="1:7" x14ac:dyDescent="0.25">
      <c r="A105" s="653">
        <v>85</v>
      </c>
      <c r="B105" s="304" t="s">
        <v>226</v>
      </c>
      <c r="C105" s="654" t="s">
        <v>227</v>
      </c>
      <c r="D105" s="824">
        <f t="shared" si="3"/>
        <v>9717</v>
      </c>
      <c r="E105" s="824">
        <v>0</v>
      </c>
      <c r="F105" s="824">
        <v>1264</v>
      </c>
      <c r="G105" s="824">
        <v>8453</v>
      </c>
    </row>
    <row r="106" spans="1:7" x14ac:dyDescent="0.25">
      <c r="A106" s="653">
        <v>86</v>
      </c>
      <c r="B106" s="655" t="s">
        <v>32</v>
      </c>
      <c r="C106" s="654" t="s">
        <v>33</v>
      </c>
      <c r="D106" s="824">
        <f t="shared" si="3"/>
        <v>9087</v>
      </c>
      <c r="E106" s="824">
        <v>0</v>
      </c>
      <c r="F106" s="824">
        <v>2595</v>
      </c>
      <c r="G106" s="824">
        <v>6492</v>
      </c>
    </row>
    <row r="107" spans="1:7" x14ac:dyDescent="0.25">
      <c r="A107" s="653">
        <v>87</v>
      </c>
      <c r="B107" s="656" t="s">
        <v>228</v>
      </c>
      <c r="C107" s="654" t="s">
        <v>229</v>
      </c>
      <c r="D107" s="824">
        <f t="shared" si="3"/>
        <v>7119</v>
      </c>
      <c r="E107" s="824">
        <v>466</v>
      </c>
      <c r="F107" s="824">
        <v>1338</v>
      </c>
      <c r="G107" s="824">
        <v>5315</v>
      </c>
    </row>
    <row r="108" spans="1:7" x14ac:dyDescent="0.25">
      <c r="A108" s="653">
        <v>88</v>
      </c>
      <c r="B108" s="304" t="s">
        <v>230</v>
      </c>
      <c r="C108" s="654" t="s">
        <v>231</v>
      </c>
      <c r="D108" s="824">
        <f t="shared" si="3"/>
        <v>11963</v>
      </c>
      <c r="E108" s="824">
        <v>1400</v>
      </c>
      <c r="F108" s="824">
        <v>2156</v>
      </c>
      <c r="G108" s="824">
        <v>8407</v>
      </c>
    </row>
    <row r="109" spans="1:7" x14ac:dyDescent="0.25">
      <c r="A109" s="653">
        <v>89</v>
      </c>
      <c r="B109" s="304" t="s">
        <v>232</v>
      </c>
      <c r="C109" s="654" t="s">
        <v>233</v>
      </c>
      <c r="D109" s="824">
        <f t="shared" si="3"/>
        <v>0</v>
      </c>
      <c r="E109" s="824">
        <v>0</v>
      </c>
      <c r="F109" s="824">
        <v>0</v>
      </c>
      <c r="G109" s="824">
        <v>0</v>
      </c>
    </row>
    <row r="110" spans="1:7" x14ac:dyDescent="0.25">
      <c r="A110" s="653">
        <v>90</v>
      </c>
      <c r="B110" s="304" t="s">
        <v>234</v>
      </c>
      <c r="C110" s="654" t="s">
        <v>235</v>
      </c>
      <c r="D110" s="824">
        <f t="shared" si="3"/>
        <v>0</v>
      </c>
      <c r="E110" s="824">
        <v>0</v>
      </c>
      <c r="F110" s="824">
        <v>0</v>
      </c>
      <c r="G110" s="824">
        <v>0</v>
      </c>
    </row>
    <row r="111" spans="1:7" x14ac:dyDescent="0.25">
      <c r="A111" s="653">
        <v>91</v>
      </c>
      <c r="B111" s="656" t="s">
        <v>236</v>
      </c>
      <c r="C111" s="654" t="s">
        <v>237</v>
      </c>
      <c r="D111" s="824">
        <f t="shared" si="3"/>
        <v>0</v>
      </c>
      <c r="E111" s="824">
        <v>0</v>
      </c>
      <c r="F111" s="824">
        <v>0</v>
      </c>
      <c r="G111" s="824">
        <v>0</v>
      </c>
    </row>
    <row r="112" spans="1:7" x14ac:dyDescent="0.25">
      <c r="A112" s="653">
        <v>92</v>
      </c>
      <c r="B112" s="656" t="s">
        <v>238</v>
      </c>
      <c r="C112" s="654" t="s">
        <v>239</v>
      </c>
      <c r="D112" s="824">
        <f t="shared" si="3"/>
        <v>0</v>
      </c>
      <c r="E112" s="824">
        <v>0</v>
      </c>
      <c r="F112" s="824">
        <v>0</v>
      </c>
      <c r="G112" s="824">
        <v>0</v>
      </c>
    </row>
    <row r="113" spans="1:7" x14ac:dyDescent="0.25">
      <c r="A113" s="653">
        <v>93</v>
      </c>
      <c r="B113" s="656" t="s">
        <v>240</v>
      </c>
      <c r="C113" s="654" t="s">
        <v>241</v>
      </c>
      <c r="D113" s="824">
        <f t="shared" si="3"/>
        <v>0</v>
      </c>
      <c r="E113" s="824">
        <v>0</v>
      </c>
      <c r="F113" s="824">
        <v>0</v>
      </c>
      <c r="G113" s="824">
        <v>0</v>
      </c>
    </row>
    <row r="114" spans="1:7" x14ac:dyDescent="0.25">
      <c r="A114" s="653">
        <v>94</v>
      </c>
      <c r="B114" s="656" t="s">
        <v>242</v>
      </c>
      <c r="C114" s="654" t="s">
        <v>243</v>
      </c>
      <c r="D114" s="824">
        <f t="shared" si="3"/>
        <v>0</v>
      </c>
      <c r="E114" s="824">
        <v>0</v>
      </c>
      <c r="F114" s="824">
        <v>0</v>
      </c>
      <c r="G114" s="824">
        <v>0</v>
      </c>
    </row>
    <row r="115" spans="1:7" x14ac:dyDescent="0.25">
      <c r="A115" s="653">
        <v>95</v>
      </c>
      <c r="B115" s="656" t="s">
        <v>244</v>
      </c>
      <c r="C115" s="654" t="s">
        <v>245</v>
      </c>
      <c r="D115" s="824">
        <f t="shared" si="3"/>
        <v>0</v>
      </c>
      <c r="E115" s="824">
        <v>0</v>
      </c>
      <c r="F115" s="824">
        <v>0</v>
      </c>
      <c r="G115" s="824">
        <v>0</v>
      </c>
    </row>
    <row r="116" spans="1:7" x14ac:dyDescent="0.25">
      <c r="A116" s="653">
        <v>96</v>
      </c>
      <c r="B116" s="661" t="s">
        <v>246</v>
      </c>
      <c r="C116" s="658" t="s">
        <v>247</v>
      </c>
      <c r="D116" s="824">
        <f t="shared" si="3"/>
        <v>0</v>
      </c>
      <c r="E116" s="824">
        <v>0</v>
      </c>
      <c r="F116" s="824">
        <v>0</v>
      </c>
      <c r="G116" s="824">
        <v>0</v>
      </c>
    </row>
    <row r="117" spans="1:7" x14ac:dyDescent="0.25">
      <c r="A117" s="653">
        <v>97</v>
      </c>
      <c r="B117" s="655" t="s">
        <v>248</v>
      </c>
      <c r="C117" s="654" t="s">
        <v>249</v>
      </c>
      <c r="D117" s="824">
        <f t="shared" si="3"/>
        <v>0</v>
      </c>
      <c r="E117" s="824">
        <v>0</v>
      </c>
      <c r="F117" s="824">
        <v>0</v>
      </c>
      <c r="G117" s="824">
        <v>0</v>
      </c>
    </row>
    <row r="118" spans="1:7" x14ac:dyDescent="0.25">
      <c r="A118" s="653">
        <v>98</v>
      </c>
      <c r="B118" s="656" t="s">
        <v>250</v>
      </c>
      <c r="C118" s="654" t="s">
        <v>251</v>
      </c>
      <c r="D118" s="824">
        <f t="shared" si="3"/>
        <v>0</v>
      </c>
      <c r="E118" s="824">
        <v>0</v>
      </c>
      <c r="F118" s="824">
        <v>0</v>
      </c>
      <c r="G118" s="824">
        <v>0</v>
      </c>
    </row>
    <row r="119" spans="1:7" x14ac:dyDescent="0.25">
      <c r="A119" s="653">
        <v>99</v>
      </c>
      <c r="B119" s="304" t="s">
        <v>252</v>
      </c>
      <c r="C119" s="662" t="s">
        <v>253</v>
      </c>
      <c r="D119" s="824">
        <f t="shared" si="3"/>
        <v>0</v>
      </c>
      <c r="E119" s="824">
        <v>0</v>
      </c>
      <c r="F119" s="824">
        <v>0</v>
      </c>
      <c r="G119" s="824">
        <v>0</v>
      </c>
    </row>
    <row r="120" spans="1:7" x14ac:dyDescent="0.25">
      <c r="A120" s="653">
        <v>100</v>
      </c>
      <c r="B120" s="656" t="s">
        <v>254</v>
      </c>
      <c r="C120" s="654" t="s">
        <v>255</v>
      </c>
      <c r="D120" s="824">
        <f t="shared" si="3"/>
        <v>0</v>
      </c>
      <c r="E120" s="824">
        <v>0</v>
      </c>
      <c r="F120" s="824">
        <v>0</v>
      </c>
      <c r="G120" s="824">
        <v>0</v>
      </c>
    </row>
    <row r="121" spans="1:7" x14ac:dyDescent="0.25">
      <c r="A121" s="653">
        <v>101</v>
      </c>
      <c r="B121" s="655" t="s">
        <v>256</v>
      </c>
      <c r="C121" s="654" t="s">
        <v>257</v>
      </c>
      <c r="D121" s="824">
        <f t="shared" si="3"/>
        <v>0</v>
      </c>
      <c r="E121" s="824">
        <v>0</v>
      </c>
      <c r="F121" s="824">
        <v>0</v>
      </c>
      <c r="G121" s="824">
        <v>0</v>
      </c>
    </row>
    <row r="122" spans="1:7" x14ac:dyDescent="0.25">
      <c r="A122" s="653">
        <v>102</v>
      </c>
      <c r="B122" s="304" t="s">
        <v>258</v>
      </c>
      <c r="C122" s="654" t="s">
        <v>259</v>
      </c>
      <c r="D122" s="824">
        <f t="shared" si="3"/>
        <v>0</v>
      </c>
      <c r="E122" s="824">
        <v>0</v>
      </c>
      <c r="F122" s="824">
        <v>0</v>
      </c>
      <c r="G122" s="824">
        <v>0</v>
      </c>
    </row>
    <row r="123" spans="1:7" x14ac:dyDescent="0.25">
      <c r="A123" s="653">
        <v>103</v>
      </c>
      <c r="B123" s="164" t="s">
        <v>542</v>
      </c>
      <c r="C123" s="163" t="s">
        <v>543</v>
      </c>
      <c r="D123" s="824">
        <f t="shared" si="3"/>
        <v>0</v>
      </c>
      <c r="E123" s="824">
        <v>0</v>
      </c>
      <c r="F123" s="824">
        <v>0</v>
      </c>
      <c r="G123" s="824">
        <v>0</v>
      </c>
    </row>
    <row r="124" spans="1:7" x14ac:dyDescent="0.25">
      <c r="A124" s="653">
        <v>104</v>
      </c>
      <c r="B124" s="655" t="s">
        <v>260</v>
      </c>
      <c r="C124" s="654" t="s">
        <v>261</v>
      </c>
      <c r="D124" s="824">
        <f t="shared" si="3"/>
        <v>0</v>
      </c>
      <c r="E124" s="824">
        <v>0</v>
      </c>
      <c r="F124" s="824">
        <v>0</v>
      </c>
      <c r="G124" s="824">
        <v>0</v>
      </c>
    </row>
    <row r="125" spans="1:7" x14ac:dyDescent="0.25">
      <c r="A125" s="653">
        <v>105</v>
      </c>
      <c r="B125" s="656" t="s">
        <v>262</v>
      </c>
      <c r="C125" s="654" t="s">
        <v>263</v>
      </c>
      <c r="D125" s="824">
        <f t="shared" si="3"/>
        <v>0</v>
      </c>
      <c r="E125" s="824">
        <v>0</v>
      </c>
      <c r="F125" s="824">
        <v>0</v>
      </c>
      <c r="G125" s="824">
        <v>0</v>
      </c>
    </row>
    <row r="126" spans="1:7" x14ac:dyDescent="0.25">
      <c r="A126" s="653">
        <v>106</v>
      </c>
      <c r="B126" s="656" t="s">
        <v>264</v>
      </c>
      <c r="C126" s="663" t="s">
        <v>265</v>
      </c>
      <c r="D126" s="824">
        <f t="shared" si="3"/>
        <v>0</v>
      </c>
      <c r="E126" s="824">
        <v>0</v>
      </c>
      <c r="F126" s="824">
        <v>0</v>
      </c>
      <c r="G126" s="824">
        <v>0</v>
      </c>
    </row>
    <row r="127" spans="1:7" x14ac:dyDescent="0.25">
      <c r="A127" s="653">
        <v>107</v>
      </c>
      <c r="B127" s="656" t="s">
        <v>266</v>
      </c>
      <c r="C127" s="654" t="s">
        <v>267</v>
      </c>
      <c r="D127" s="824">
        <f t="shared" si="3"/>
        <v>0</v>
      </c>
      <c r="E127" s="824">
        <v>0</v>
      </c>
      <c r="F127" s="824">
        <v>0</v>
      </c>
      <c r="G127" s="824">
        <v>0</v>
      </c>
    </row>
    <row r="128" spans="1:7" x14ac:dyDescent="0.25">
      <c r="A128" s="653">
        <v>108</v>
      </c>
      <c r="B128" s="656" t="s">
        <v>268</v>
      </c>
      <c r="C128" s="654" t="s">
        <v>269</v>
      </c>
      <c r="D128" s="824">
        <f t="shared" si="3"/>
        <v>0</v>
      </c>
      <c r="E128" s="824">
        <v>0</v>
      </c>
      <c r="F128" s="824">
        <v>0</v>
      </c>
      <c r="G128" s="824">
        <v>0</v>
      </c>
    </row>
    <row r="129" spans="1:7" x14ac:dyDescent="0.25">
      <c r="A129" s="653">
        <v>109</v>
      </c>
      <c r="B129" s="656" t="s">
        <v>270</v>
      </c>
      <c r="C129" s="654" t="s">
        <v>271</v>
      </c>
      <c r="D129" s="824">
        <f t="shared" si="3"/>
        <v>0</v>
      </c>
      <c r="E129" s="824">
        <v>0</v>
      </c>
      <c r="F129" s="824">
        <v>0</v>
      </c>
      <c r="G129" s="824">
        <v>0</v>
      </c>
    </row>
    <row r="130" spans="1:7" x14ac:dyDescent="0.25">
      <c r="A130" s="653">
        <v>110</v>
      </c>
      <c r="B130" s="304" t="s">
        <v>272</v>
      </c>
      <c r="C130" s="654" t="s">
        <v>273</v>
      </c>
      <c r="D130" s="824">
        <f t="shared" si="3"/>
        <v>0</v>
      </c>
      <c r="E130" s="824">
        <v>0</v>
      </c>
      <c r="F130" s="824">
        <v>0</v>
      </c>
      <c r="G130" s="824">
        <v>0</v>
      </c>
    </row>
    <row r="131" spans="1:7" x14ac:dyDescent="0.25">
      <c r="A131" s="653">
        <v>111</v>
      </c>
      <c r="B131" s="304" t="s">
        <v>274</v>
      </c>
      <c r="C131" s="654" t="s">
        <v>275</v>
      </c>
      <c r="D131" s="824">
        <f t="shared" si="3"/>
        <v>0</v>
      </c>
      <c r="E131" s="824">
        <v>0</v>
      </c>
      <c r="F131" s="824">
        <v>0</v>
      </c>
      <c r="G131" s="824">
        <v>0</v>
      </c>
    </row>
    <row r="132" spans="1:7" x14ac:dyDescent="0.25">
      <c r="A132" s="653">
        <v>112</v>
      </c>
      <c r="B132" s="304" t="s">
        <v>276</v>
      </c>
      <c r="C132" s="654" t="s">
        <v>277</v>
      </c>
      <c r="D132" s="824">
        <f t="shared" si="3"/>
        <v>0</v>
      </c>
      <c r="E132" s="824">
        <v>0</v>
      </c>
      <c r="F132" s="824">
        <v>0</v>
      </c>
      <c r="G132" s="824">
        <v>0</v>
      </c>
    </row>
    <row r="133" spans="1:7" x14ac:dyDescent="0.25">
      <c r="A133" s="653">
        <v>113</v>
      </c>
      <c r="B133" s="656" t="s">
        <v>278</v>
      </c>
      <c r="C133" s="654" t="s">
        <v>279</v>
      </c>
      <c r="D133" s="824">
        <f t="shared" si="3"/>
        <v>0</v>
      </c>
      <c r="E133" s="824">
        <v>0</v>
      </c>
      <c r="F133" s="824">
        <v>0</v>
      </c>
      <c r="G133" s="824">
        <v>0</v>
      </c>
    </row>
    <row r="134" spans="1:7" x14ac:dyDescent="0.25">
      <c r="A134" s="653">
        <v>114</v>
      </c>
      <c r="B134" s="656" t="s">
        <v>280</v>
      </c>
      <c r="C134" s="654" t="s">
        <v>281</v>
      </c>
      <c r="D134" s="824">
        <f t="shared" si="3"/>
        <v>0</v>
      </c>
      <c r="E134" s="824">
        <v>0</v>
      </c>
      <c r="F134" s="824">
        <v>0</v>
      </c>
      <c r="G134" s="824">
        <v>0</v>
      </c>
    </row>
    <row r="135" spans="1:7" x14ac:dyDescent="0.25">
      <c r="A135" s="653">
        <v>115</v>
      </c>
      <c r="B135" s="656" t="s">
        <v>282</v>
      </c>
      <c r="C135" s="654" t="s">
        <v>768</v>
      </c>
      <c r="D135" s="824">
        <f t="shared" si="3"/>
        <v>0</v>
      </c>
      <c r="E135" s="824">
        <v>0</v>
      </c>
      <c r="F135" s="824">
        <v>0</v>
      </c>
      <c r="G135" s="824">
        <v>0</v>
      </c>
    </row>
    <row r="136" spans="1:7" x14ac:dyDescent="0.25">
      <c r="A136" s="653">
        <v>116</v>
      </c>
      <c r="B136" s="304" t="s">
        <v>283</v>
      </c>
      <c r="C136" s="654" t="s">
        <v>284</v>
      </c>
      <c r="D136" s="824">
        <f t="shared" si="3"/>
        <v>0</v>
      </c>
      <c r="E136" s="824">
        <v>0</v>
      </c>
      <c r="F136" s="824">
        <v>0</v>
      </c>
      <c r="G136" s="824">
        <v>0</v>
      </c>
    </row>
    <row r="137" spans="1:7" x14ac:dyDescent="0.25">
      <c r="A137" s="653">
        <v>117</v>
      </c>
      <c r="B137" s="655" t="s">
        <v>285</v>
      </c>
      <c r="C137" s="49" t="s">
        <v>726</v>
      </c>
      <c r="D137" s="824">
        <f t="shared" si="3"/>
        <v>6924</v>
      </c>
      <c r="E137" s="824">
        <v>0</v>
      </c>
      <c r="F137" s="824">
        <v>1393</v>
      </c>
      <c r="G137" s="824">
        <v>5531</v>
      </c>
    </row>
    <row r="138" spans="1:7" x14ac:dyDescent="0.25">
      <c r="A138" s="653">
        <v>118</v>
      </c>
      <c r="B138" s="656" t="s">
        <v>286</v>
      </c>
      <c r="C138" s="654" t="s">
        <v>287</v>
      </c>
      <c r="D138" s="824">
        <f t="shared" si="3"/>
        <v>0</v>
      </c>
      <c r="E138" s="824">
        <v>0</v>
      </c>
      <c r="F138" s="824">
        <v>0</v>
      </c>
      <c r="G138" s="824">
        <v>0</v>
      </c>
    </row>
    <row r="139" spans="1:7" x14ac:dyDescent="0.25">
      <c r="A139" s="653">
        <v>119</v>
      </c>
      <c r="B139" s="304" t="s">
        <v>288</v>
      </c>
      <c r="C139" s="654" t="s">
        <v>289</v>
      </c>
      <c r="D139" s="824">
        <f t="shared" si="3"/>
        <v>0</v>
      </c>
      <c r="E139" s="824">
        <v>0</v>
      </c>
      <c r="F139" s="824">
        <v>0</v>
      </c>
      <c r="G139" s="824">
        <v>0</v>
      </c>
    </row>
    <row r="140" spans="1:7" x14ac:dyDescent="0.25">
      <c r="A140" s="653">
        <v>120</v>
      </c>
      <c r="B140" s="656" t="s">
        <v>290</v>
      </c>
      <c r="C140" s="654" t="s">
        <v>291</v>
      </c>
      <c r="D140" s="824">
        <f t="shared" si="3"/>
        <v>0</v>
      </c>
      <c r="E140" s="824">
        <v>0</v>
      </c>
      <c r="F140" s="824">
        <v>0</v>
      </c>
      <c r="G140" s="824">
        <v>0</v>
      </c>
    </row>
    <row r="141" spans="1:7" x14ac:dyDescent="0.25">
      <c r="A141" s="653">
        <v>121</v>
      </c>
      <c r="B141" s="664" t="s">
        <v>292</v>
      </c>
      <c r="C141" s="666" t="s">
        <v>293</v>
      </c>
      <c r="D141" s="824">
        <f t="shared" si="3"/>
        <v>0</v>
      </c>
      <c r="E141" s="824">
        <v>0</v>
      </c>
      <c r="F141" s="824">
        <v>0</v>
      </c>
      <c r="G141" s="824">
        <v>0</v>
      </c>
    </row>
    <row r="142" spans="1:7" x14ac:dyDescent="0.25">
      <c r="A142" s="653">
        <v>122</v>
      </c>
      <c r="B142" s="665" t="s">
        <v>294</v>
      </c>
      <c r="C142" s="666" t="s">
        <v>295</v>
      </c>
      <c r="D142" s="824">
        <f t="shared" si="3"/>
        <v>0</v>
      </c>
      <c r="E142" s="824">
        <v>0</v>
      </c>
      <c r="F142" s="824">
        <v>0</v>
      </c>
      <c r="G142" s="824">
        <v>0</v>
      </c>
    </row>
    <row r="143" spans="1:7" x14ac:dyDescent="0.25">
      <c r="A143" s="653">
        <v>123</v>
      </c>
      <c r="B143" s="667" t="s">
        <v>296</v>
      </c>
      <c r="C143" s="668" t="s">
        <v>460</v>
      </c>
      <c r="D143" s="824">
        <f t="shared" si="3"/>
        <v>0</v>
      </c>
      <c r="E143" s="824">
        <v>0</v>
      </c>
      <c r="F143" s="824">
        <v>0</v>
      </c>
      <c r="G143" s="824">
        <v>0</v>
      </c>
    </row>
    <row r="144" spans="1:7" x14ac:dyDescent="0.25">
      <c r="A144" s="653">
        <v>124</v>
      </c>
      <c r="B144" s="653" t="s">
        <v>298</v>
      </c>
      <c r="C144" s="669" t="s">
        <v>299</v>
      </c>
      <c r="D144" s="824">
        <f t="shared" ref="D144" si="4">E144+F144+G144</f>
        <v>0</v>
      </c>
      <c r="E144" s="824">
        <v>0</v>
      </c>
      <c r="F144" s="824">
        <v>0</v>
      </c>
      <c r="G144" s="824">
        <v>0</v>
      </c>
    </row>
    <row r="145" spans="1:7" x14ac:dyDescent="0.25">
      <c r="A145" s="653">
        <v>125</v>
      </c>
      <c r="B145" s="670" t="s">
        <v>300</v>
      </c>
      <c r="C145" s="669" t="s">
        <v>301</v>
      </c>
      <c r="D145" s="824">
        <f>E145+F145+G145</f>
        <v>0</v>
      </c>
      <c r="E145" s="826">
        <v>0</v>
      </c>
      <c r="F145" s="826">
        <v>0</v>
      </c>
      <c r="G145" s="826">
        <v>0</v>
      </c>
    </row>
    <row r="146" spans="1:7" x14ac:dyDescent="0.25">
      <c r="A146" s="653">
        <v>126</v>
      </c>
      <c r="B146" s="671" t="s">
        <v>302</v>
      </c>
      <c r="C146" s="672" t="s">
        <v>303</v>
      </c>
      <c r="D146" s="826">
        <f t="shared" ref="D146" si="5">E146+F146+G146</f>
        <v>0</v>
      </c>
      <c r="E146" s="826">
        <v>0</v>
      </c>
      <c r="F146" s="826">
        <v>0</v>
      </c>
      <c r="G146" s="826">
        <v>0</v>
      </c>
    </row>
    <row r="147" spans="1:7" x14ac:dyDescent="0.25">
      <c r="A147" s="653">
        <v>127</v>
      </c>
      <c r="B147" s="670" t="s">
        <v>304</v>
      </c>
      <c r="C147" s="669" t="s">
        <v>305</v>
      </c>
      <c r="D147" s="826">
        <v>0</v>
      </c>
      <c r="E147" s="826">
        <v>0</v>
      </c>
      <c r="F147" s="826">
        <v>0</v>
      </c>
      <c r="G147" s="826">
        <v>0</v>
      </c>
    </row>
  </sheetData>
  <mergeCells count="19">
    <mergeCell ref="A82:A83"/>
    <mergeCell ref="A85:A86"/>
    <mergeCell ref="A90:A93"/>
    <mergeCell ref="B90:B93"/>
    <mergeCell ref="A7:C7"/>
    <mergeCell ref="A8:C8"/>
    <mergeCell ref="A9:C9"/>
    <mergeCell ref="A34:A35"/>
    <mergeCell ref="A72:A74"/>
    <mergeCell ref="A75:A78"/>
    <mergeCell ref="D4:D5"/>
    <mergeCell ref="E4:E5"/>
    <mergeCell ref="F4:G4"/>
    <mergeCell ref="A1:G1"/>
    <mergeCell ref="A2:A5"/>
    <mergeCell ref="B2:B5"/>
    <mergeCell ref="C2:C5"/>
    <mergeCell ref="D2:G2"/>
    <mergeCell ref="D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Normal="100" workbookViewId="0">
      <pane xSplit="4" ySplit="9" topLeftCell="E10" activePane="bottomRight" state="frozen"/>
      <selection activeCell="C152" sqref="C152"/>
      <selection pane="topRight" activeCell="C152" sqref="C152"/>
      <selection pane="bottomLeft" activeCell="C152" sqref="C152"/>
      <selection pane="bottomRight" activeCell="O5" sqref="O5"/>
    </sheetView>
  </sheetViews>
  <sheetFormatPr defaultRowHeight="12" x14ac:dyDescent="0.2"/>
  <cols>
    <col min="1" max="1" width="6.28515625" style="809" customWidth="1"/>
    <col min="2" max="2" width="8.7109375" style="809" customWidth="1"/>
    <col min="3" max="3" width="41.28515625" style="809" customWidth="1"/>
    <col min="4" max="4" width="11.42578125" style="809" customWidth="1"/>
    <col min="5" max="5" width="9.28515625" style="809" customWidth="1"/>
    <col min="6" max="7" width="10.28515625" style="809" customWidth="1"/>
    <col min="8" max="8" width="10.140625" style="809" customWidth="1"/>
    <col min="9" max="9" width="14.85546875" style="809" customWidth="1"/>
    <col min="10" max="11" width="11.85546875" style="809" customWidth="1"/>
    <col min="12" max="12" width="11.42578125" style="809" customWidth="1"/>
    <col min="13" max="14" width="12.140625" style="809" customWidth="1"/>
    <col min="15" max="15" width="11.42578125" style="809" customWidth="1"/>
    <col min="16" max="16384" width="9.140625" style="809"/>
  </cols>
  <sheetData>
    <row r="1" spans="1:15" ht="45.75" customHeight="1" x14ac:dyDescent="0.2">
      <c r="A1" s="1027" t="s">
        <v>487</v>
      </c>
      <c r="B1" s="1027"/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</row>
    <row r="2" spans="1:15" ht="21.75" customHeight="1" x14ac:dyDescent="0.2">
      <c r="A2" s="1004" t="s">
        <v>0</v>
      </c>
      <c r="B2" s="996" t="s">
        <v>326</v>
      </c>
      <c r="C2" s="1004" t="s">
        <v>309</v>
      </c>
      <c r="D2" s="995" t="s">
        <v>488</v>
      </c>
      <c r="E2" s="995"/>
      <c r="F2" s="995"/>
      <c r="G2" s="995"/>
      <c r="H2" s="995"/>
      <c r="I2" s="995"/>
      <c r="J2" s="995"/>
      <c r="K2" s="995"/>
      <c r="L2" s="995"/>
      <c r="M2" s="995"/>
      <c r="N2" s="995"/>
    </row>
    <row r="3" spans="1:15" ht="24" customHeight="1" x14ac:dyDescent="0.2">
      <c r="A3" s="1000"/>
      <c r="B3" s="997"/>
      <c r="C3" s="1000"/>
      <c r="D3" s="1004" t="s">
        <v>441</v>
      </c>
      <c r="E3" s="995" t="s">
        <v>465</v>
      </c>
      <c r="F3" s="995"/>
      <c r="G3" s="995"/>
      <c r="H3" s="995" t="s">
        <v>466</v>
      </c>
      <c r="I3" s="995"/>
      <c r="J3" s="995"/>
      <c r="K3" s="995"/>
      <c r="L3" s="1028" t="s">
        <v>489</v>
      </c>
      <c r="M3" s="1031" t="s">
        <v>6</v>
      </c>
      <c r="N3" s="1031"/>
    </row>
    <row r="4" spans="1:15" ht="42" customHeight="1" x14ac:dyDescent="0.2">
      <c r="A4" s="1000"/>
      <c r="B4" s="997"/>
      <c r="C4" s="1000"/>
      <c r="D4" s="1000"/>
      <c r="E4" s="1004" t="s">
        <v>46</v>
      </c>
      <c r="F4" s="1002" t="s">
        <v>447</v>
      </c>
      <c r="G4" s="1003"/>
      <c r="H4" s="1004" t="s">
        <v>46</v>
      </c>
      <c r="I4" s="1004" t="s">
        <v>467</v>
      </c>
      <c r="J4" s="995" t="s">
        <v>49</v>
      </c>
      <c r="K4" s="995"/>
      <c r="L4" s="1029"/>
      <c r="M4" s="1032" t="s">
        <v>490</v>
      </c>
      <c r="N4" s="1032" t="s">
        <v>491</v>
      </c>
    </row>
    <row r="5" spans="1:15" ht="24" customHeight="1" x14ac:dyDescent="0.2">
      <c r="A5" s="1001"/>
      <c r="B5" s="998"/>
      <c r="C5" s="1001"/>
      <c r="D5" s="1001"/>
      <c r="E5" s="1001"/>
      <c r="F5" s="810" t="s">
        <v>51</v>
      </c>
      <c r="G5" s="811" t="s">
        <v>50</v>
      </c>
      <c r="H5" s="1001"/>
      <c r="I5" s="1001"/>
      <c r="J5" s="811" t="s">
        <v>51</v>
      </c>
      <c r="K5" s="811" t="s">
        <v>50</v>
      </c>
      <c r="L5" s="1030"/>
      <c r="M5" s="1032"/>
      <c r="N5" s="1032"/>
    </row>
    <row r="6" spans="1:15" s="816" customFormat="1" ht="10.5" customHeight="1" x14ac:dyDescent="0.2">
      <c r="A6" s="813">
        <v>1</v>
      </c>
      <c r="B6" s="813">
        <v>2</v>
      </c>
      <c r="C6" s="813">
        <v>3</v>
      </c>
      <c r="D6" s="814">
        <v>4</v>
      </c>
      <c r="E6" s="814">
        <v>5</v>
      </c>
      <c r="F6" s="814">
        <v>6</v>
      </c>
      <c r="G6" s="814">
        <v>7</v>
      </c>
      <c r="H6" s="814">
        <v>8</v>
      </c>
      <c r="I6" s="815">
        <v>9</v>
      </c>
      <c r="J6" s="815">
        <v>10</v>
      </c>
      <c r="K6" s="815">
        <v>11</v>
      </c>
      <c r="L6" s="815">
        <v>12</v>
      </c>
      <c r="M6" s="815">
        <v>13</v>
      </c>
      <c r="N6" s="815">
        <v>14</v>
      </c>
    </row>
    <row r="7" spans="1:15" s="816" customFormat="1" x14ac:dyDescent="0.2">
      <c r="A7" s="965" t="s">
        <v>44</v>
      </c>
      <c r="B7" s="965"/>
      <c r="C7" s="965"/>
      <c r="D7" s="817">
        <f>D9+D8</f>
        <v>2182179</v>
      </c>
      <c r="E7" s="817">
        <f>F7+G7</f>
        <v>67678</v>
      </c>
      <c r="F7" s="817">
        <f>F8+F9</f>
        <v>2300</v>
      </c>
      <c r="G7" s="817">
        <f>G8+G9</f>
        <v>65378</v>
      </c>
      <c r="H7" s="817">
        <f>I7+K7+J7</f>
        <v>2061427</v>
      </c>
      <c r="I7" s="817">
        <f t="shared" ref="I7:N7" si="0">I9+I8</f>
        <v>150728</v>
      </c>
      <c r="J7" s="817">
        <f t="shared" si="0"/>
        <v>141745</v>
      </c>
      <c r="K7" s="817">
        <f t="shared" si="0"/>
        <v>1768954</v>
      </c>
      <c r="L7" s="817">
        <f t="shared" si="0"/>
        <v>53074</v>
      </c>
      <c r="M7" s="817">
        <f t="shared" si="0"/>
        <v>42459</v>
      </c>
      <c r="N7" s="817">
        <f t="shared" si="0"/>
        <v>10615</v>
      </c>
    </row>
    <row r="8" spans="1:15" s="816" customFormat="1" ht="12" customHeight="1" x14ac:dyDescent="0.2">
      <c r="A8" s="966" t="s">
        <v>14</v>
      </c>
      <c r="B8" s="967"/>
      <c r="C8" s="968"/>
      <c r="D8" s="815">
        <f>E8+H8</f>
        <v>0</v>
      </c>
      <c r="E8" s="815">
        <f>F8+G8</f>
        <v>0</v>
      </c>
      <c r="F8" s="815">
        <f>'[21]Уточнение для Пр.5-26'!F8+'[21]Пос с др.целями(Пр.2-26)'!F8</f>
        <v>0</v>
      </c>
      <c r="G8" s="815">
        <f>'[21]Уточнение для Пр.5-26'!G8+'[21]Пос с др.целями(Пр.2-26)'!G8</f>
        <v>0</v>
      </c>
      <c r="H8" s="815">
        <f>I8+J8+K8</f>
        <v>0</v>
      </c>
      <c r="I8" s="815">
        <f>'[21]Уточнение для Пр.5-26'!I8+'[21]Пос с др.целями(Пр.2-26)'!I8</f>
        <v>0</v>
      </c>
      <c r="J8" s="815">
        <f>'[21]Уточнение для Пр.5-26'!J8+'[21]Пос с др.целями(Пр.2-26)'!J8</f>
        <v>0</v>
      </c>
      <c r="K8" s="815">
        <f>'[21]Уточнение для Пр.5-26'!K8+'[21]Пос с др.целями(Пр.2-26)'!K8</f>
        <v>0</v>
      </c>
      <c r="L8" s="815">
        <f>'[21]Уточнение для Пр.5-26'!L8+'[21]Пос с др.целями(Пр.2-26)'!L8</f>
        <v>0</v>
      </c>
      <c r="M8" s="815">
        <f>'[21]Уточнение для Пр.5-26'!M8+'[21]Пос с др.целями(Пр.2-26)'!M8</f>
        <v>0</v>
      </c>
      <c r="N8" s="815">
        <f>'[21]Уточнение для Пр.5-26'!N8+'[21]Пос с др.целями(Пр.2-26)'!N8</f>
        <v>0</v>
      </c>
    </row>
    <row r="9" spans="1:15" s="816" customFormat="1" ht="12" customHeight="1" x14ac:dyDescent="0.2">
      <c r="A9" s="966" t="s">
        <v>15</v>
      </c>
      <c r="B9" s="967"/>
      <c r="C9" s="968"/>
      <c r="D9" s="817">
        <f>SUM(D10:D144)-D90-D35-D73-D74-D76-D77-D78-D83-D86</f>
        <v>2182179</v>
      </c>
      <c r="E9" s="817">
        <f t="shared" ref="E9:N9" si="1">SUM(E10:E144)-E90-E35-E73-E74-E76-E77-E78-E83-E86</f>
        <v>67678</v>
      </c>
      <c r="F9" s="817">
        <f t="shared" si="1"/>
        <v>2300</v>
      </c>
      <c r="G9" s="817">
        <f t="shared" si="1"/>
        <v>65378</v>
      </c>
      <c r="H9" s="817">
        <f t="shared" si="1"/>
        <v>2061427</v>
      </c>
      <c r="I9" s="817">
        <f t="shared" si="1"/>
        <v>150728</v>
      </c>
      <c r="J9" s="817">
        <f t="shared" si="1"/>
        <v>141745</v>
      </c>
      <c r="K9" s="817">
        <f t="shared" si="1"/>
        <v>1768954</v>
      </c>
      <c r="L9" s="817">
        <f t="shared" si="1"/>
        <v>53074</v>
      </c>
      <c r="M9" s="817">
        <f t="shared" si="1"/>
        <v>42459</v>
      </c>
      <c r="N9" s="817">
        <f t="shared" si="1"/>
        <v>10615</v>
      </c>
      <c r="O9" s="827"/>
    </row>
    <row r="10" spans="1:15" x14ac:dyDescent="0.2">
      <c r="A10" s="160">
        <v>1</v>
      </c>
      <c r="B10" s="48" t="s">
        <v>54</v>
      </c>
      <c r="C10" s="49" t="s">
        <v>55</v>
      </c>
      <c r="D10" s="815">
        <f>E10+H10+L10</f>
        <v>4462</v>
      </c>
      <c r="E10" s="815">
        <f>F10+G10</f>
        <v>0</v>
      </c>
      <c r="F10" s="815">
        <v>0</v>
      </c>
      <c r="G10" s="815">
        <v>0</v>
      </c>
      <c r="H10" s="815">
        <f>I10+J10+K10</f>
        <v>4462</v>
      </c>
      <c r="I10" s="818">
        <v>67</v>
      </c>
      <c r="J10" s="818">
        <v>663</v>
      </c>
      <c r="K10" s="818">
        <v>3732</v>
      </c>
      <c r="L10" s="818">
        <f>M10+N10</f>
        <v>0</v>
      </c>
      <c r="M10" s="818">
        <v>0</v>
      </c>
      <c r="N10" s="818">
        <v>0</v>
      </c>
      <c r="O10" s="828"/>
    </row>
    <row r="11" spans="1:15" x14ac:dyDescent="0.2">
      <c r="A11" s="160">
        <v>2</v>
      </c>
      <c r="B11" s="51" t="s">
        <v>56</v>
      </c>
      <c r="C11" s="49" t="s">
        <v>57</v>
      </c>
      <c r="D11" s="815">
        <f t="shared" ref="D11:D74" si="2">E11+H11+L11</f>
        <v>4585</v>
      </c>
      <c r="E11" s="815">
        <f t="shared" ref="E11:E74" si="3">F11+G11</f>
        <v>0</v>
      </c>
      <c r="F11" s="815">
        <v>0</v>
      </c>
      <c r="G11" s="815">
        <v>0</v>
      </c>
      <c r="H11" s="815">
        <f t="shared" ref="H11:H74" si="4">I11+J11+K11</f>
        <v>4585</v>
      </c>
      <c r="I11" s="818">
        <v>305</v>
      </c>
      <c r="J11" s="818">
        <v>922</v>
      </c>
      <c r="K11" s="818">
        <v>3358</v>
      </c>
      <c r="L11" s="818">
        <f t="shared" ref="L11:L74" si="5">M11+N11</f>
        <v>0</v>
      </c>
      <c r="M11" s="818">
        <v>0</v>
      </c>
      <c r="N11" s="818">
        <v>0</v>
      </c>
      <c r="O11" s="828"/>
    </row>
    <row r="12" spans="1:15" x14ac:dyDescent="0.2">
      <c r="A12" s="160">
        <v>3</v>
      </c>
      <c r="B12" s="166" t="s">
        <v>16</v>
      </c>
      <c r="C12" s="49" t="s">
        <v>17</v>
      </c>
      <c r="D12" s="815">
        <f t="shared" si="2"/>
        <v>27046</v>
      </c>
      <c r="E12" s="815">
        <f t="shared" si="3"/>
        <v>0</v>
      </c>
      <c r="F12" s="815">
        <v>0</v>
      </c>
      <c r="G12" s="815">
        <v>0</v>
      </c>
      <c r="H12" s="815">
        <f t="shared" si="4"/>
        <v>25150</v>
      </c>
      <c r="I12" s="818">
        <v>675</v>
      </c>
      <c r="J12" s="818">
        <v>0</v>
      </c>
      <c r="K12" s="818">
        <v>24475</v>
      </c>
      <c r="L12" s="818">
        <f t="shared" si="5"/>
        <v>1896</v>
      </c>
      <c r="M12" s="818">
        <v>1517</v>
      </c>
      <c r="N12" s="818">
        <v>379</v>
      </c>
      <c r="O12" s="828"/>
    </row>
    <row r="13" spans="1:15" x14ac:dyDescent="0.2">
      <c r="A13" s="160">
        <v>4</v>
      </c>
      <c r="B13" s="48" t="s">
        <v>58</v>
      </c>
      <c r="C13" s="49" t="s">
        <v>59</v>
      </c>
      <c r="D13" s="815">
        <f t="shared" si="2"/>
        <v>10670</v>
      </c>
      <c r="E13" s="815">
        <f t="shared" si="3"/>
        <v>0</v>
      </c>
      <c r="F13" s="815">
        <v>0</v>
      </c>
      <c r="G13" s="815">
        <v>0</v>
      </c>
      <c r="H13" s="815">
        <f t="shared" si="4"/>
        <v>10670</v>
      </c>
      <c r="I13" s="818">
        <v>1700</v>
      </c>
      <c r="J13" s="818">
        <v>1759</v>
      </c>
      <c r="K13" s="818">
        <v>7211</v>
      </c>
      <c r="L13" s="818">
        <f t="shared" si="5"/>
        <v>0</v>
      </c>
      <c r="M13" s="818">
        <v>0</v>
      </c>
      <c r="N13" s="818">
        <v>0</v>
      </c>
      <c r="O13" s="828"/>
    </row>
    <row r="14" spans="1:15" x14ac:dyDescent="0.2">
      <c r="A14" s="160">
        <v>5</v>
      </c>
      <c r="B14" s="48" t="s">
        <v>60</v>
      </c>
      <c r="C14" s="49" t="s">
        <v>61</v>
      </c>
      <c r="D14" s="815">
        <f t="shared" si="2"/>
        <v>9184</v>
      </c>
      <c r="E14" s="815">
        <f t="shared" si="3"/>
        <v>0</v>
      </c>
      <c r="F14" s="815">
        <v>0</v>
      </c>
      <c r="G14" s="815">
        <v>0</v>
      </c>
      <c r="H14" s="815">
        <f t="shared" si="4"/>
        <v>9184</v>
      </c>
      <c r="I14" s="818">
        <v>1350</v>
      </c>
      <c r="J14" s="818">
        <v>97</v>
      </c>
      <c r="K14" s="818">
        <v>7737</v>
      </c>
      <c r="L14" s="818">
        <f t="shared" si="5"/>
        <v>0</v>
      </c>
      <c r="M14" s="818">
        <v>0</v>
      </c>
      <c r="N14" s="818">
        <v>0</v>
      </c>
      <c r="O14" s="828"/>
    </row>
    <row r="15" spans="1:15" x14ac:dyDescent="0.2">
      <c r="A15" s="160">
        <v>6</v>
      </c>
      <c r="B15" s="166" t="s">
        <v>18</v>
      </c>
      <c r="C15" s="49" t="s">
        <v>19</v>
      </c>
      <c r="D15" s="815">
        <f t="shared" si="2"/>
        <v>169838</v>
      </c>
      <c r="E15" s="815">
        <f t="shared" si="3"/>
        <v>0</v>
      </c>
      <c r="F15" s="815">
        <v>0</v>
      </c>
      <c r="G15" s="815">
        <v>0</v>
      </c>
      <c r="H15" s="815">
        <f t="shared" si="4"/>
        <v>166163</v>
      </c>
      <c r="I15" s="818">
        <v>6356</v>
      </c>
      <c r="J15" s="818">
        <v>18012</v>
      </c>
      <c r="K15" s="818">
        <v>141795</v>
      </c>
      <c r="L15" s="818">
        <f t="shared" si="5"/>
        <v>3675</v>
      </c>
      <c r="M15" s="818">
        <v>2940</v>
      </c>
      <c r="N15" s="818">
        <v>735</v>
      </c>
      <c r="O15" s="828"/>
    </row>
    <row r="16" spans="1:15" x14ac:dyDescent="0.2">
      <c r="A16" s="160">
        <v>7</v>
      </c>
      <c r="B16" s="48" t="s">
        <v>62</v>
      </c>
      <c r="C16" s="49" t="s">
        <v>63</v>
      </c>
      <c r="D16" s="815">
        <f t="shared" si="2"/>
        <v>22890</v>
      </c>
      <c r="E16" s="815">
        <f t="shared" si="3"/>
        <v>0</v>
      </c>
      <c r="F16" s="815">
        <v>0</v>
      </c>
      <c r="G16" s="815">
        <v>0</v>
      </c>
      <c r="H16" s="815">
        <f t="shared" si="4"/>
        <v>21213</v>
      </c>
      <c r="I16" s="818">
        <v>1779</v>
      </c>
      <c r="J16" s="818">
        <v>2810</v>
      </c>
      <c r="K16" s="818">
        <v>16624</v>
      </c>
      <c r="L16" s="818">
        <f t="shared" si="5"/>
        <v>1677</v>
      </c>
      <c r="M16" s="818">
        <v>1342</v>
      </c>
      <c r="N16" s="818">
        <v>335</v>
      </c>
      <c r="O16" s="828"/>
    </row>
    <row r="17" spans="1:15" x14ac:dyDescent="0.2">
      <c r="A17" s="160">
        <v>8</v>
      </c>
      <c r="B17" s="166" t="s">
        <v>64</v>
      </c>
      <c r="C17" s="49" t="s">
        <v>65</v>
      </c>
      <c r="D17" s="815">
        <f t="shared" si="2"/>
        <v>13771</v>
      </c>
      <c r="E17" s="815">
        <f t="shared" si="3"/>
        <v>0</v>
      </c>
      <c r="F17" s="815">
        <v>0</v>
      </c>
      <c r="G17" s="815">
        <v>0</v>
      </c>
      <c r="H17" s="815">
        <f t="shared" si="4"/>
        <v>13771</v>
      </c>
      <c r="I17" s="818">
        <v>2430</v>
      </c>
      <c r="J17" s="818">
        <v>1963</v>
      </c>
      <c r="K17" s="818">
        <v>9378</v>
      </c>
      <c r="L17" s="818">
        <f t="shared" si="5"/>
        <v>0</v>
      </c>
      <c r="M17" s="818">
        <v>0</v>
      </c>
      <c r="N17" s="818">
        <v>0</v>
      </c>
      <c r="O17" s="828"/>
    </row>
    <row r="18" spans="1:15" x14ac:dyDescent="0.2">
      <c r="A18" s="160">
        <v>9</v>
      </c>
      <c r="B18" s="166" t="s">
        <v>66</v>
      </c>
      <c r="C18" s="49" t="s">
        <v>67</v>
      </c>
      <c r="D18" s="815">
        <f t="shared" si="2"/>
        <v>4477</v>
      </c>
      <c r="E18" s="815">
        <f t="shared" si="3"/>
        <v>0</v>
      </c>
      <c r="F18" s="815">
        <v>0</v>
      </c>
      <c r="G18" s="815">
        <v>0</v>
      </c>
      <c r="H18" s="815">
        <f t="shared" si="4"/>
        <v>4477</v>
      </c>
      <c r="I18" s="818">
        <v>0</v>
      </c>
      <c r="J18" s="818">
        <v>0</v>
      </c>
      <c r="K18" s="818">
        <v>4477</v>
      </c>
      <c r="L18" s="818">
        <f t="shared" si="5"/>
        <v>0</v>
      </c>
      <c r="M18" s="818">
        <v>0</v>
      </c>
      <c r="N18" s="818">
        <v>0</v>
      </c>
      <c r="O18" s="828"/>
    </row>
    <row r="19" spans="1:15" x14ac:dyDescent="0.2">
      <c r="A19" s="160">
        <v>10</v>
      </c>
      <c r="B19" s="166" t="s">
        <v>68</v>
      </c>
      <c r="C19" s="49" t="s">
        <v>69</v>
      </c>
      <c r="D19" s="815">
        <f t="shared" si="2"/>
        <v>8092</v>
      </c>
      <c r="E19" s="815">
        <f t="shared" si="3"/>
        <v>0</v>
      </c>
      <c r="F19" s="815">
        <v>0</v>
      </c>
      <c r="G19" s="815">
        <v>0</v>
      </c>
      <c r="H19" s="815">
        <f t="shared" si="4"/>
        <v>8092</v>
      </c>
      <c r="I19" s="818">
        <v>57</v>
      </c>
      <c r="J19" s="818">
        <v>3237</v>
      </c>
      <c r="K19" s="818">
        <v>4798</v>
      </c>
      <c r="L19" s="818">
        <f t="shared" si="5"/>
        <v>0</v>
      </c>
      <c r="M19" s="818">
        <v>0</v>
      </c>
      <c r="N19" s="818">
        <v>0</v>
      </c>
      <c r="O19" s="828"/>
    </row>
    <row r="20" spans="1:15" x14ac:dyDescent="0.2">
      <c r="A20" s="160">
        <v>11</v>
      </c>
      <c r="B20" s="166" t="s">
        <v>70</v>
      </c>
      <c r="C20" s="49" t="s">
        <v>71</v>
      </c>
      <c r="D20" s="815">
        <f t="shared" si="2"/>
        <v>8045</v>
      </c>
      <c r="E20" s="815">
        <f t="shared" si="3"/>
        <v>0</v>
      </c>
      <c r="F20" s="815">
        <v>0</v>
      </c>
      <c r="G20" s="815">
        <v>0</v>
      </c>
      <c r="H20" s="815">
        <f t="shared" si="4"/>
        <v>8045</v>
      </c>
      <c r="I20" s="818">
        <v>1185</v>
      </c>
      <c r="J20" s="818">
        <v>758</v>
      </c>
      <c r="K20" s="818">
        <v>6102</v>
      </c>
      <c r="L20" s="818">
        <f t="shared" si="5"/>
        <v>0</v>
      </c>
      <c r="M20" s="818">
        <v>0</v>
      </c>
      <c r="N20" s="818">
        <v>0</v>
      </c>
      <c r="O20" s="828"/>
    </row>
    <row r="21" spans="1:15" x14ac:dyDescent="0.2">
      <c r="A21" s="160">
        <v>12</v>
      </c>
      <c r="B21" s="166" t="s">
        <v>72</v>
      </c>
      <c r="C21" s="49" t="s">
        <v>73</v>
      </c>
      <c r="D21" s="815">
        <f t="shared" si="2"/>
        <v>23102</v>
      </c>
      <c r="E21" s="815">
        <f t="shared" si="3"/>
        <v>0</v>
      </c>
      <c r="F21" s="815">
        <v>0</v>
      </c>
      <c r="G21" s="815">
        <v>0</v>
      </c>
      <c r="H21" s="815">
        <f t="shared" si="4"/>
        <v>23102</v>
      </c>
      <c r="I21" s="818">
        <v>150</v>
      </c>
      <c r="J21" s="818">
        <v>1975</v>
      </c>
      <c r="K21" s="818">
        <v>20977</v>
      </c>
      <c r="L21" s="818">
        <f t="shared" si="5"/>
        <v>0</v>
      </c>
      <c r="M21" s="818">
        <v>0</v>
      </c>
      <c r="N21" s="818">
        <v>0</v>
      </c>
      <c r="O21" s="828"/>
    </row>
    <row r="22" spans="1:15" x14ac:dyDescent="0.2">
      <c r="A22" s="160">
        <v>13</v>
      </c>
      <c r="B22" s="166" t="s">
        <v>74</v>
      </c>
      <c r="C22" s="49" t="s">
        <v>75</v>
      </c>
      <c r="D22" s="815">
        <f t="shared" si="2"/>
        <v>0</v>
      </c>
      <c r="E22" s="815">
        <f t="shared" si="3"/>
        <v>0</v>
      </c>
      <c r="F22" s="815">
        <v>0</v>
      </c>
      <c r="G22" s="815">
        <v>0</v>
      </c>
      <c r="H22" s="815">
        <f t="shared" si="4"/>
        <v>0</v>
      </c>
      <c r="I22" s="818">
        <v>0</v>
      </c>
      <c r="J22" s="818">
        <v>0</v>
      </c>
      <c r="K22" s="818">
        <v>0</v>
      </c>
      <c r="L22" s="818">
        <f t="shared" si="5"/>
        <v>0</v>
      </c>
      <c r="M22" s="818">
        <v>0</v>
      </c>
      <c r="N22" s="818">
        <v>0</v>
      </c>
      <c r="O22" s="828"/>
    </row>
    <row r="23" spans="1:15" x14ac:dyDescent="0.2">
      <c r="A23" s="160">
        <v>14</v>
      </c>
      <c r="B23" s="166" t="s">
        <v>76</v>
      </c>
      <c r="C23" s="49" t="s">
        <v>77</v>
      </c>
      <c r="D23" s="815">
        <f t="shared" si="2"/>
        <v>15334</v>
      </c>
      <c r="E23" s="815">
        <f t="shared" si="3"/>
        <v>0</v>
      </c>
      <c r="F23" s="815">
        <v>0</v>
      </c>
      <c r="G23" s="815">
        <v>0</v>
      </c>
      <c r="H23" s="815">
        <f t="shared" si="4"/>
        <v>15334</v>
      </c>
      <c r="I23" s="818">
        <v>118</v>
      </c>
      <c r="J23" s="818">
        <v>1719</v>
      </c>
      <c r="K23" s="818">
        <f>10497+3000</f>
        <v>13497</v>
      </c>
      <c r="L23" s="818">
        <f t="shared" si="5"/>
        <v>0</v>
      </c>
      <c r="M23" s="818">
        <v>0</v>
      </c>
      <c r="N23" s="818">
        <v>0</v>
      </c>
      <c r="O23" s="828"/>
    </row>
    <row r="24" spans="1:15" x14ac:dyDescent="0.2">
      <c r="A24" s="160">
        <v>15</v>
      </c>
      <c r="B24" s="166" t="s">
        <v>78</v>
      </c>
      <c r="C24" s="49" t="s">
        <v>79</v>
      </c>
      <c r="D24" s="815">
        <f t="shared" si="2"/>
        <v>29728</v>
      </c>
      <c r="E24" s="815">
        <f t="shared" si="3"/>
        <v>0</v>
      </c>
      <c r="F24" s="815">
        <v>0</v>
      </c>
      <c r="G24" s="815">
        <v>0</v>
      </c>
      <c r="H24" s="815">
        <f t="shared" si="4"/>
        <v>29728</v>
      </c>
      <c r="I24" s="818">
        <v>1328</v>
      </c>
      <c r="J24" s="818">
        <v>0</v>
      </c>
      <c r="K24" s="818">
        <v>28400</v>
      </c>
      <c r="L24" s="818">
        <f t="shared" si="5"/>
        <v>0</v>
      </c>
      <c r="M24" s="818">
        <v>0</v>
      </c>
      <c r="N24" s="818">
        <v>0</v>
      </c>
      <c r="O24" s="828"/>
    </row>
    <row r="25" spans="1:15" x14ac:dyDescent="0.2">
      <c r="A25" s="160">
        <v>16</v>
      </c>
      <c r="B25" s="166" t="s">
        <v>80</v>
      </c>
      <c r="C25" s="49" t="s">
        <v>81</v>
      </c>
      <c r="D25" s="815">
        <f t="shared" si="2"/>
        <v>26611</v>
      </c>
      <c r="E25" s="815">
        <f t="shared" si="3"/>
        <v>0</v>
      </c>
      <c r="F25" s="815">
        <v>0</v>
      </c>
      <c r="G25" s="815">
        <v>0</v>
      </c>
      <c r="H25" s="815">
        <f t="shared" si="4"/>
        <v>26611</v>
      </c>
      <c r="I25" s="818">
        <v>2000</v>
      </c>
      <c r="J25" s="818">
        <v>2978</v>
      </c>
      <c r="K25" s="818">
        <v>21633</v>
      </c>
      <c r="L25" s="818">
        <f t="shared" si="5"/>
        <v>0</v>
      </c>
      <c r="M25" s="818">
        <v>0</v>
      </c>
      <c r="N25" s="818">
        <v>0</v>
      </c>
      <c r="O25" s="828"/>
    </row>
    <row r="26" spans="1:15" x14ac:dyDescent="0.2">
      <c r="A26" s="160">
        <v>17</v>
      </c>
      <c r="B26" s="166" t="s">
        <v>20</v>
      </c>
      <c r="C26" s="49" t="s">
        <v>21</v>
      </c>
      <c r="D26" s="815">
        <f t="shared" si="2"/>
        <v>45725</v>
      </c>
      <c r="E26" s="815">
        <f t="shared" si="3"/>
        <v>0</v>
      </c>
      <c r="F26" s="815">
        <v>0</v>
      </c>
      <c r="G26" s="815">
        <v>0</v>
      </c>
      <c r="H26" s="815">
        <f t="shared" si="4"/>
        <v>42334</v>
      </c>
      <c r="I26" s="818">
        <v>4600</v>
      </c>
      <c r="J26" s="818">
        <v>6937</v>
      </c>
      <c r="K26" s="818">
        <v>30797</v>
      </c>
      <c r="L26" s="818">
        <f t="shared" si="5"/>
        <v>3391</v>
      </c>
      <c r="M26" s="818">
        <v>2713</v>
      </c>
      <c r="N26" s="818">
        <v>678</v>
      </c>
      <c r="O26" s="828"/>
    </row>
    <row r="27" spans="1:15" x14ac:dyDescent="0.2">
      <c r="A27" s="160">
        <v>18</v>
      </c>
      <c r="B27" s="48" t="s">
        <v>82</v>
      </c>
      <c r="C27" s="49" t="s">
        <v>83</v>
      </c>
      <c r="D27" s="815">
        <f t="shared" si="2"/>
        <v>5431</v>
      </c>
      <c r="E27" s="815">
        <f t="shared" si="3"/>
        <v>0</v>
      </c>
      <c r="F27" s="815">
        <v>0</v>
      </c>
      <c r="G27" s="815">
        <v>0</v>
      </c>
      <c r="H27" s="815">
        <f t="shared" si="4"/>
        <v>5431</v>
      </c>
      <c r="I27" s="818">
        <v>600</v>
      </c>
      <c r="J27" s="818">
        <v>0</v>
      </c>
      <c r="K27" s="818">
        <v>4831</v>
      </c>
      <c r="L27" s="818">
        <f t="shared" si="5"/>
        <v>0</v>
      </c>
      <c r="M27" s="818">
        <v>0</v>
      </c>
      <c r="N27" s="818">
        <v>0</v>
      </c>
      <c r="O27" s="828"/>
    </row>
    <row r="28" spans="1:15" x14ac:dyDescent="0.2">
      <c r="A28" s="160">
        <v>19</v>
      </c>
      <c r="B28" s="48" t="s">
        <v>84</v>
      </c>
      <c r="C28" s="49" t="s">
        <v>85</v>
      </c>
      <c r="D28" s="815">
        <f t="shared" si="2"/>
        <v>7497</v>
      </c>
      <c r="E28" s="815">
        <f t="shared" si="3"/>
        <v>0</v>
      </c>
      <c r="F28" s="815">
        <v>0</v>
      </c>
      <c r="G28" s="815">
        <v>0</v>
      </c>
      <c r="H28" s="815">
        <f t="shared" si="4"/>
        <v>7497</v>
      </c>
      <c r="I28" s="818">
        <v>704</v>
      </c>
      <c r="J28" s="818">
        <v>1251</v>
      </c>
      <c r="K28" s="818">
        <v>5542</v>
      </c>
      <c r="L28" s="818">
        <f t="shared" si="5"/>
        <v>0</v>
      </c>
      <c r="M28" s="818">
        <v>0</v>
      </c>
      <c r="N28" s="818">
        <v>0</v>
      </c>
      <c r="O28" s="828"/>
    </row>
    <row r="29" spans="1:15" x14ac:dyDescent="0.2">
      <c r="A29" s="160">
        <v>20</v>
      </c>
      <c r="B29" s="48" t="s">
        <v>86</v>
      </c>
      <c r="C29" s="49" t="s">
        <v>87</v>
      </c>
      <c r="D29" s="815">
        <f t="shared" si="2"/>
        <v>38574</v>
      </c>
      <c r="E29" s="815">
        <f t="shared" si="3"/>
        <v>0</v>
      </c>
      <c r="F29" s="815">
        <v>0</v>
      </c>
      <c r="G29" s="815">
        <v>0</v>
      </c>
      <c r="H29" s="815">
        <f t="shared" si="4"/>
        <v>38574</v>
      </c>
      <c r="I29" s="818">
        <v>3407</v>
      </c>
      <c r="J29" s="818">
        <v>4141</v>
      </c>
      <c r="K29" s="818">
        <v>31026</v>
      </c>
      <c r="L29" s="818">
        <f t="shared" si="5"/>
        <v>0</v>
      </c>
      <c r="M29" s="818">
        <v>0</v>
      </c>
      <c r="N29" s="818">
        <v>0</v>
      </c>
      <c r="O29" s="828"/>
    </row>
    <row r="30" spans="1:15" x14ac:dyDescent="0.2">
      <c r="A30" s="160">
        <v>21</v>
      </c>
      <c r="B30" s="48" t="s">
        <v>22</v>
      </c>
      <c r="C30" s="49" t="s">
        <v>23</v>
      </c>
      <c r="D30" s="815">
        <f t="shared" si="2"/>
        <v>37039</v>
      </c>
      <c r="E30" s="815">
        <f t="shared" si="3"/>
        <v>0</v>
      </c>
      <c r="F30" s="815">
        <v>0</v>
      </c>
      <c r="G30" s="815">
        <v>0</v>
      </c>
      <c r="H30" s="815">
        <f t="shared" si="4"/>
        <v>34831</v>
      </c>
      <c r="I30" s="818">
        <v>3741</v>
      </c>
      <c r="J30" s="818">
        <v>3378</v>
      </c>
      <c r="K30" s="818">
        <v>27712</v>
      </c>
      <c r="L30" s="818">
        <f t="shared" si="5"/>
        <v>2208</v>
      </c>
      <c r="M30" s="818">
        <v>1766</v>
      </c>
      <c r="N30" s="818">
        <v>442</v>
      </c>
      <c r="O30" s="828"/>
    </row>
    <row r="31" spans="1:15" x14ac:dyDescent="0.2">
      <c r="A31" s="160">
        <v>22</v>
      </c>
      <c r="B31" s="166" t="s">
        <v>24</v>
      </c>
      <c r="C31" s="49" t="s">
        <v>25</v>
      </c>
      <c r="D31" s="815">
        <f t="shared" si="2"/>
        <v>9022</v>
      </c>
      <c r="E31" s="815">
        <f t="shared" si="3"/>
        <v>0</v>
      </c>
      <c r="F31" s="815">
        <v>0</v>
      </c>
      <c r="G31" s="815">
        <v>0</v>
      </c>
      <c r="H31" s="815">
        <f t="shared" si="4"/>
        <v>9022</v>
      </c>
      <c r="I31" s="818">
        <v>701</v>
      </c>
      <c r="J31" s="818">
        <v>1097</v>
      </c>
      <c r="K31" s="818">
        <v>7224</v>
      </c>
      <c r="L31" s="818">
        <f t="shared" si="5"/>
        <v>0</v>
      </c>
      <c r="M31" s="818">
        <v>0</v>
      </c>
      <c r="N31" s="818">
        <v>0</v>
      </c>
      <c r="O31" s="828"/>
    </row>
    <row r="32" spans="1:15" x14ac:dyDescent="0.2">
      <c r="A32" s="160">
        <v>23</v>
      </c>
      <c r="B32" s="166" t="s">
        <v>88</v>
      </c>
      <c r="C32" s="49" t="s">
        <v>89</v>
      </c>
      <c r="D32" s="815">
        <f t="shared" si="2"/>
        <v>0</v>
      </c>
      <c r="E32" s="815">
        <f t="shared" si="3"/>
        <v>0</v>
      </c>
      <c r="F32" s="815">
        <v>0</v>
      </c>
      <c r="G32" s="815">
        <v>0</v>
      </c>
      <c r="H32" s="815">
        <v>0</v>
      </c>
      <c r="I32" s="818">
        <v>0</v>
      </c>
      <c r="J32" s="818">
        <v>0</v>
      </c>
      <c r="K32" s="818">
        <v>0</v>
      </c>
      <c r="L32" s="818">
        <f t="shared" si="5"/>
        <v>0</v>
      </c>
      <c r="M32" s="818">
        <v>0</v>
      </c>
      <c r="N32" s="818">
        <v>0</v>
      </c>
      <c r="O32" s="828"/>
    </row>
    <row r="33" spans="1:15" x14ac:dyDescent="0.2">
      <c r="A33" s="160">
        <v>24</v>
      </c>
      <c r="B33" s="166" t="s">
        <v>90</v>
      </c>
      <c r="C33" s="49" t="s">
        <v>91</v>
      </c>
      <c r="D33" s="815">
        <f t="shared" si="2"/>
        <v>0</v>
      </c>
      <c r="E33" s="815">
        <f t="shared" si="3"/>
        <v>0</v>
      </c>
      <c r="F33" s="815">
        <v>0</v>
      </c>
      <c r="G33" s="815">
        <v>0</v>
      </c>
      <c r="H33" s="815">
        <v>0</v>
      </c>
      <c r="I33" s="818">
        <v>0</v>
      </c>
      <c r="J33" s="818">
        <v>0</v>
      </c>
      <c r="K33" s="818">
        <v>0</v>
      </c>
      <c r="L33" s="818">
        <f t="shared" si="5"/>
        <v>0</v>
      </c>
      <c r="M33" s="818">
        <v>0</v>
      </c>
      <c r="N33" s="818">
        <v>0</v>
      </c>
      <c r="O33" s="828"/>
    </row>
    <row r="34" spans="1:15" ht="24" x14ac:dyDescent="0.2">
      <c r="A34" s="933">
        <v>25</v>
      </c>
      <c r="B34" s="617" t="s">
        <v>92</v>
      </c>
      <c r="C34" s="56" t="s">
        <v>771</v>
      </c>
      <c r="D34" s="815">
        <f t="shared" si="2"/>
        <v>140005</v>
      </c>
      <c r="E34" s="815">
        <f t="shared" si="3"/>
        <v>0</v>
      </c>
      <c r="F34" s="815">
        <v>0</v>
      </c>
      <c r="G34" s="815">
        <v>0</v>
      </c>
      <c r="H34" s="815">
        <f t="shared" si="4"/>
        <v>134079</v>
      </c>
      <c r="I34" s="818">
        <v>12351</v>
      </c>
      <c r="J34" s="818">
        <v>399</v>
      </c>
      <c r="K34" s="818">
        <v>121329</v>
      </c>
      <c r="L34" s="818">
        <f t="shared" si="5"/>
        <v>5926</v>
      </c>
      <c r="M34" s="818">
        <v>4741</v>
      </c>
      <c r="N34" s="818">
        <v>1185</v>
      </c>
      <c r="O34" s="828"/>
    </row>
    <row r="35" spans="1:15" x14ac:dyDescent="0.2">
      <c r="A35" s="935"/>
      <c r="B35" s="166" t="s">
        <v>94</v>
      </c>
      <c r="C35" s="49" t="s">
        <v>95</v>
      </c>
      <c r="D35" s="815">
        <f t="shared" si="2"/>
        <v>26462</v>
      </c>
      <c r="E35" s="815">
        <f t="shared" si="3"/>
        <v>0</v>
      </c>
      <c r="F35" s="815">
        <v>0</v>
      </c>
      <c r="G35" s="815">
        <v>0</v>
      </c>
      <c r="H35" s="815">
        <f t="shared" si="4"/>
        <v>24504</v>
      </c>
      <c r="I35" s="818">
        <v>107</v>
      </c>
      <c r="J35" s="818">
        <v>0</v>
      </c>
      <c r="K35" s="818">
        <v>24397</v>
      </c>
      <c r="L35" s="818">
        <f t="shared" si="5"/>
        <v>1958</v>
      </c>
      <c r="M35" s="818">
        <v>1580</v>
      </c>
      <c r="N35" s="818">
        <v>378</v>
      </c>
      <c r="O35" s="828"/>
    </row>
    <row r="36" spans="1:15" x14ac:dyDescent="0.2">
      <c r="A36" s="160">
        <v>26</v>
      </c>
      <c r="B36" s="51" t="s">
        <v>96</v>
      </c>
      <c r="C36" s="49" t="s">
        <v>97</v>
      </c>
      <c r="D36" s="815">
        <f t="shared" si="2"/>
        <v>0</v>
      </c>
      <c r="E36" s="815">
        <f t="shared" si="3"/>
        <v>0</v>
      </c>
      <c r="F36" s="815">
        <v>0</v>
      </c>
      <c r="G36" s="815">
        <v>0</v>
      </c>
      <c r="H36" s="815">
        <f t="shared" si="4"/>
        <v>0</v>
      </c>
      <c r="I36" s="818">
        <v>0</v>
      </c>
      <c r="J36" s="818">
        <v>0</v>
      </c>
      <c r="K36" s="818">
        <v>0</v>
      </c>
      <c r="L36" s="818">
        <f t="shared" si="5"/>
        <v>0</v>
      </c>
      <c r="M36" s="818">
        <v>0</v>
      </c>
      <c r="N36" s="818">
        <v>0</v>
      </c>
      <c r="O36" s="828"/>
    </row>
    <row r="37" spans="1:15" x14ac:dyDescent="0.2">
      <c r="A37" s="160">
        <v>27</v>
      </c>
      <c r="B37" s="51" t="s">
        <v>26</v>
      </c>
      <c r="C37" s="49" t="s">
        <v>27</v>
      </c>
      <c r="D37" s="815">
        <f t="shared" si="2"/>
        <v>40363</v>
      </c>
      <c r="E37" s="815">
        <f t="shared" si="3"/>
        <v>0</v>
      </c>
      <c r="F37" s="815">
        <v>0</v>
      </c>
      <c r="G37" s="815">
        <v>0</v>
      </c>
      <c r="H37" s="815">
        <f t="shared" si="4"/>
        <v>38754</v>
      </c>
      <c r="I37" s="818">
        <v>3200</v>
      </c>
      <c r="J37" s="818">
        <v>1982</v>
      </c>
      <c r="K37" s="818">
        <v>33572</v>
      </c>
      <c r="L37" s="818">
        <f t="shared" si="5"/>
        <v>1609</v>
      </c>
      <c r="M37" s="818">
        <v>1287</v>
      </c>
      <c r="N37" s="818">
        <v>322</v>
      </c>
      <c r="O37" s="828"/>
    </row>
    <row r="38" spans="1:15" x14ac:dyDescent="0.2">
      <c r="A38" s="160">
        <v>28</v>
      </c>
      <c r="B38" s="48" t="s">
        <v>98</v>
      </c>
      <c r="C38" s="49" t="s">
        <v>99</v>
      </c>
      <c r="D38" s="815">
        <f t="shared" si="2"/>
        <v>49452</v>
      </c>
      <c r="E38" s="815">
        <f t="shared" si="3"/>
        <v>0</v>
      </c>
      <c r="F38" s="815">
        <v>0</v>
      </c>
      <c r="G38" s="815">
        <v>0</v>
      </c>
      <c r="H38" s="815">
        <f t="shared" si="4"/>
        <v>46671</v>
      </c>
      <c r="I38" s="818">
        <v>4300</v>
      </c>
      <c r="J38" s="818">
        <v>6748</v>
      </c>
      <c r="K38" s="818">
        <v>35623</v>
      </c>
      <c r="L38" s="818">
        <f t="shared" si="5"/>
        <v>2781</v>
      </c>
      <c r="M38" s="818">
        <v>2225</v>
      </c>
      <c r="N38" s="818">
        <v>556</v>
      </c>
      <c r="O38" s="828"/>
    </row>
    <row r="39" spans="1:15" x14ac:dyDescent="0.2">
      <c r="A39" s="160">
        <v>29</v>
      </c>
      <c r="B39" s="51" t="s">
        <v>100</v>
      </c>
      <c r="C39" s="49" t="s">
        <v>101</v>
      </c>
      <c r="D39" s="815">
        <f t="shared" si="2"/>
        <v>17893</v>
      </c>
      <c r="E39" s="815">
        <f t="shared" si="3"/>
        <v>0</v>
      </c>
      <c r="F39" s="815">
        <v>0</v>
      </c>
      <c r="G39" s="815">
        <v>0</v>
      </c>
      <c r="H39" s="815">
        <f t="shared" si="4"/>
        <v>17893</v>
      </c>
      <c r="I39" s="818">
        <v>1062</v>
      </c>
      <c r="J39" s="818">
        <v>3392</v>
      </c>
      <c r="K39" s="818">
        <v>13439</v>
      </c>
      <c r="L39" s="818">
        <f t="shared" si="5"/>
        <v>0</v>
      </c>
      <c r="M39" s="818">
        <v>0</v>
      </c>
      <c r="N39" s="818">
        <v>0</v>
      </c>
      <c r="O39" s="828"/>
    </row>
    <row r="40" spans="1:15" x14ac:dyDescent="0.2">
      <c r="A40" s="160">
        <v>30</v>
      </c>
      <c r="B40" s="166" t="s">
        <v>102</v>
      </c>
      <c r="C40" s="49" t="s">
        <v>103</v>
      </c>
      <c r="D40" s="815">
        <f t="shared" si="2"/>
        <v>35624</v>
      </c>
      <c r="E40" s="815">
        <f t="shared" si="3"/>
        <v>0</v>
      </c>
      <c r="F40" s="815">
        <v>0</v>
      </c>
      <c r="G40" s="815">
        <v>0</v>
      </c>
      <c r="H40" s="815">
        <f t="shared" si="4"/>
        <v>34553</v>
      </c>
      <c r="I40" s="818">
        <v>3600</v>
      </c>
      <c r="J40" s="818">
        <v>5443</v>
      </c>
      <c r="K40" s="818">
        <v>25510</v>
      </c>
      <c r="L40" s="818">
        <f t="shared" si="5"/>
        <v>1071</v>
      </c>
      <c r="M40" s="818">
        <v>857</v>
      </c>
      <c r="N40" s="818">
        <v>214</v>
      </c>
      <c r="O40" s="828"/>
    </row>
    <row r="41" spans="1:15" x14ac:dyDescent="0.2">
      <c r="A41" s="160">
        <v>31</v>
      </c>
      <c r="B41" s="51" t="s">
        <v>104</v>
      </c>
      <c r="C41" s="49" t="s">
        <v>105</v>
      </c>
      <c r="D41" s="815">
        <f t="shared" si="2"/>
        <v>18139</v>
      </c>
      <c r="E41" s="815">
        <f t="shared" si="3"/>
        <v>0</v>
      </c>
      <c r="F41" s="815">
        <v>0</v>
      </c>
      <c r="G41" s="815">
        <v>0</v>
      </c>
      <c r="H41" s="815">
        <f t="shared" si="4"/>
        <v>18139</v>
      </c>
      <c r="I41" s="818">
        <v>1703</v>
      </c>
      <c r="J41" s="818">
        <v>2060</v>
      </c>
      <c r="K41" s="818">
        <v>14376</v>
      </c>
      <c r="L41" s="818">
        <f t="shared" si="5"/>
        <v>0</v>
      </c>
      <c r="M41" s="818">
        <v>0</v>
      </c>
      <c r="N41" s="818">
        <v>0</v>
      </c>
      <c r="O41" s="828"/>
    </row>
    <row r="42" spans="1:15" x14ac:dyDescent="0.2">
      <c r="A42" s="160">
        <v>32</v>
      </c>
      <c r="B42" s="48" t="s">
        <v>106</v>
      </c>
      <c r="C42" s="49" t="s">
        <v>107</v>
      </c>
      <c r="D42" s="815">
        <f t="shared" si="2"/>
        <v>30639</v>
      </c>
      <c r="E42" s="815">
        <f t="shared" si="3"/>
        <v>0</v>
      </c>
      <c r="F42" s="815">
        <v>0</v>
      </c>
      <c r="G42" s="815">
        <v>0</v>
      </c>
      <c r="H42" s="815">
        <f t="shared" si="4"/>
        <v>30639</v>
      </c>
      <c r="I42" s="818">
        <v>300</v>
      </c>
      <c r="J42" s="818">
        <v>226</v>
      </c>
      <c r="K42" s="818">
        <v>30113</v>
      </c>
      <c r="L42" s="818">
        <f t="shared" si="5"/>
        <v>0</v>
      </c>
      <c r="M42" s="818">
        <v>0</v>
      </c>
      <c r="N42" s="818">
        <v>0</v>
      </c>
      <c r="O42" s="828"/>
    </row>
    <row r="43" spans="1:15" x14ac:dyDescent="0.2">
      <c r="A43" s="160">
        <v>33</v>
      </c>
      <c r="B43" s="161" t="s">
        <v>108</v>
      </c>
      <c r="C43" s="618" t="s">
        <v>109</v>
      </c>
      <c r="D43" s="815">
        <f t="shared" si="2"/>
        <v>14952</v>
      </c>
      <c r="E43" s="815">
        <f t="shared" si="3"/>
        <v>0</v>
      </c>
      <c r="F43" s="815">
        <v>0</v>
      </c>
      <c r="G43" s="815">
        <v>0</v>
      </c>
      <c r="H43" s="815">
        <f t="shared" si="4"/>
        <v>14952</v>
      </c>
      <c r="I43" s="818">
        <v>510</v>
      </c>
      <c r="J43" s="818">
        <v>1515</v>
      </c>
      <c r="K43" s="818">
        <v>12927</v>
      </c>
      <c r="L43" s="818">
        <f t="shared" si="5"/>
        <v>0</v>
      </c>
      <c r="M43" s="818">
        <v>0</v>
      </c>
      <c r="N43" s="818">
        <v>0</v>
      </c>
      <c r="O43" s="828"/>
    </row>
    <row r="44" spans="1:15" x14ac:dyDescent="0.2">
      <c r="A44" s="160">
        <v>34</v>
      </c>
      <c r="B44" s="48" t="s">
        <v>110</v>
      </c>
      <c r="C44" s="49" t="s">
        <v>111</v>
      </c>
      <c r="D44" s="815">
        <f t="shared" si="2"/>
        <v>7821</v>
      </c>
      <c r="E44" s="815">
        <f t="shared" si="3"/>
        <v>0</v>
      </c>
      <c r="F44" s="815">
        <v>0</v>
      </c>
      <c r="G44" s="815">
        <v>0</v>
      </c>
      <c r="H44" s="815">
        <f t="shared" si="4"/>
        <v>7821</v>
      </c>
      <c r="I44" s="818">
        <v>300</v>
      </c>
      <c r="J44" s="818">
        <v>7</v>
      </c>
      <c r="K44" s="818">
        <v>7514</v>
      </c>
      <c r="L44" s="818">
        <f t="shared" si="5"/>
        <v>0</v>
      </c>
      <c r="M44" s="818">
        <v>0</v>
      </c>
      <c r="N44" s="818">
        <v>0</v>
      </c>
      <c r="O44" s="828"/>
    </row>
    <row r="45" spans="1:15" x14ac:dyDescent="0.2">
      <c r="A45" s="160">
        <v>35</v>
      </c>
      <c r="B45" s="48" t="s">
        <v>112</v>
      </c>
      <c r="C45" s="49" t="s">
        <v>113</v>
      </c>
      <c r="D45" s="815">
        <f t="shared" si="2"/>
        <v>10866</v>
      </c>
      <c r="E45" s="815">
        <f t="shared" si="3"/>
        <v>0</v>
      </c>
      <c r="F45" s="815">
        <v>0</v>
      </c>
      <c r="G45" s="815">
        <v>0</v>
      </c>
      <c r="H45" s="815">
        <f t="shared" si="4"/>
        <v>10866</v>
      </c>
      <c r="I45" s="818">
        <v>580</v>
      </c>
      <c r="J45" s="818">
        <v>1309</v>
      </c>
      <c r="K45" s="818">
        <v>8977</v>
      </c>
      <c r="L45" s="818">
        <f t="shared" si="5"/>
        <v>0</v>
      </c>
      <c r="M45" s="818">
        <v>0</v>
      </c>
      <c r="N45" s="818">
        <v>0</v>
      </c>
      <c r="O45" s="828"/>
    </row>
    <row r="46" spans="1:15" x14ac:dyDescent="0.2">
      <c r="A46" s="160">
        <v>36</v>
      </c>
      <c r="B46" s="166" t="s">
        <v>114</v>
      </c>
      <c r="C46" s="49" t="s">
        <v>115</v>
      </c>
      <c r="D46" s="815">
        <f t="shared" si="2"/>
        <v>3951</v>
      </c>
      <c r="E46" s="815">
        <f t="shared" si="3"/>
        <v>0</v>
      </c>
      <c r="F46" s="815">
        <v>0</v>
      </c>
      <c r="G46" s="815">
        <v>0</v>
      </c>
      <c r="H46" s="815">
        <f t="shared" si="4"/>
        <v>3951</v>
      </c>
      <c r="I46" s="818">
        <v>72</v>
      </c>
      <c r="J46" s="818">
        <v>379</v>
      </c>
      <c r="K46" s="818">
        <v>3500</v>
      </c>
      <c r="L46" s="818">
        <f t="shared" si="5"/>
        <v>0</v>
      </c>
      <c r="M46" s="818">
        <v>0</v>
      </c>
      <c r="N46" s="818">
        <v>0</v>
      </c>
      <c r="O46" s="828"/>
    </row>
    <row r="47" spans="1:15" x14ac:dyDescent="0.2">
      <c r="A47" s="160">
        <v>37</v>
      </c>
      <c r="B47" s="51" t="s">
        <v>116</v>
      </c>
      <c r="C47" s="49" t="s">
        <v>117</v>
      </c>
      <c r="D47" s="815">
        <f t="shared" si="2"/>
        <v>110</v>
      </c>
      <c r="E47" s="815">
        <f t="shared" si="3"/>
        <v>0</v>
      </c>
      <c r="F47" s="815">
        <v>0</v>
      </c>
      <c r="G47" s="815">
        <v>0</v>
      </c>
      <c r="H47" s="815">
        <f t="shared" si="4"/>
        <v>110</v>
      </c>
      <c r="I47" s="818">
        <v>0</v>
      </c>
      <c r="J47" s="818">
        <v>0</v>
      </c>
      <c r="K47" s="818">
        <v>110</v>
      </c>
      <c r="L47" s="818">
        <f t="shared" si="5"/>
        <v>0</v>
      </c>
      <c r="M47" s="818">
        <v>0</v>
      </c>
      <c r="N47" s="818">
        <v>0</v>
      </c>
      <c r="O47" s="828"/>
    </row>
    <row r="48" spans="1:15" x14ac:dyDescent="0.2">
      <c r="A48" s="160">
        <v>38</v>
      </c>
      <c r="B48" s="166" t="s">
        <v>28</v>
      </c>
      <c r="C48" s="49" t="s">
        <v>29</v>
      </c>
      <c r="D48" s="815">
        <f t="shared" si="2"/>
        <v>72554</v>
      </c>
      <c r="E48" s="815">
        <f t="shared" si="3"/>
        <v>0</v>
      </c>
      <c r="F48" s="815">
        <v>0</v>
      </c>
      <c r="G48" s="815">
        <v>0</v>
      </c>
      <c r="H48" s="815">
        <f t="shared" si="4"/>
        <v>70016</v>
      </c>
      <c r="I48" s="818">
        <v>3823</v>
      </c>
      <c r="J48" s="818">
        <v>2726</v>
      </c>
      <c r="K48" s="818">
        <v>63467</v>
      </c>
      <c r="L48" s="818">
        <f t="shared" si="5"/>
        <v>2538</v>
      </c>
      <c r="M48" s="818">
        <v>2030</v>
      </c>
      <c r="N48" s="818">
        <v>508</v>
      </c>
      <c r="O48" s="828"/>
    </row>
    <row r="49" spans="1:15" x14ac:dyDescent="0.2">
      <c r="A49" s="160">
        <v>39</v>
      </c>
      <c r="B49" s="48" t="s">
        <v>118</v>
      </c>
      <c r="C49" s="49" t="s">
        <v>119</v>
      </c>
      <c r="D49" s="815">
        <f t="shared" si="2"/>
        <v>9021</v>
      </c>
      <c r="E49" s="815">
        <f t="shared" si="3"/>
        <v>0</v>
      </c>
      <c r="F49" s="815">
        <v>0</v>
      </c>
      <c r="G49" s="815">
        <v>0</v>
      </c>
      <c r="H49" s="815">
        <f t="shared" si="4"/>
        <v>9021</v>
      </c>
      <c r="I49" s="818">
        <v>2050</v>
      </c>
      <c r="J49" s="818">
        <v>1055</v>
      </c>
      <c r="K49" s="818">
        <v>5916</v>
      </c>
      <c r="L49" s="818">
        <f t="shared" si="5"/>
        <v>0</v>
      </c>
      <c r="M49" s="818">
        <v>0</v>
      </c>
      <c r="N49" s="818">
        <v>0</v>
      </c>
      <c r="O49" s="828"/>
    </row>
    <row r="50" spans="1:15" x14ac:dyDescent="0.2">
      <c r="A50" s="160">
        <v>40</v>
      </c>
      <c r="B50" s="48" t="s">
        <v>120</v>
      </c>
      <c r="C50" s="49" t="s">
        <v>121</v>
      </c>
      <c r="D50" s="815">
        <f t="shared" si="2"/>
        <v>42595</v>
      </c>
      <c r="E50" s="815">
        <f t="shared" si="3"/>
        <v>0</v>
      </c>
      <c r="F50" s="815">
        <v>0</v>
      </c>
      <c r="G50" s="815">
        <v>0</v>
      </c>
      <c r="H50" s="815">
        <f t="shared" si="4"/>
        <v>42595</v>
      </c>
      <c r="I50" s="818">
        <v>225</v>
      </c>
      <c r="J50" s="818">
        <v>1316</v>
      </c>
      <c r="K50" s="818">
        <v>41054</v>
      </c>
      <c r="L50" s="818">
        <f t="shared" si="5"/>
        <v>0</v>
      </c>
      <c r="M50" s="818">
        <v>0</v>
      </c>
      <c r="N50" s="818">
        <v>0</v>
      </c>
      <c r="O50" s="828"/>
    </row>
    <row r="51" spans="1:15" x14ac:dyDescent="0.2">
      <c r="A51" s="160">
        <v>41</v>
      </c>
      <c r="B51" s="166" t="s">
        <v>122</v>
      </c>
      <c r="C51" s="49" t="s">
        <v>123</v>
      </c>
      <c r="D51" s="815">
        <f t="shared" si="2"/>
        <v>9344</v>
      </c>
      <c r="E51" s="815">
        <f t="shared" si="3"/>
        <v>0</v>
      </c>
      <c r="F51" s="815">
        <v>0</v>
      </c>
      <c r="G51" s="815">
        <v>0</v>
      </c>
      <c r="H51" s="815">
        <f t="shared" si="4"/>
        <v>9344</v>
      </c>
      <c r="I51" s="818">
        <v>550</v>
      </c>
      <c r="J51" s="818">
        <v>2048</v>
      </c>
      <c r="K51" s="818">
        <v>6746</v>
      </c>
      <c r="L51" s="818">
        <f t="shared" si="5"/>
        <v>0</v>
      </c>
      <c r="M51" s="818">
        <v>0</v>
      </c>
      <c r="N51" s="818">
        <v>0</v>
      </c>
      <c r="O51" s="828"/>
    </row>
    <row r="52" spans="1:15" x14ac:dyDescent="0.2">
      <c r="A52" s="160">
        <v>42</v>
      </c>
      <c r="B52" s="51" t="s">
        <v>124</v>
      </c>
      <c r="C52" s="49" t="s">
        <v>125</v>
      </c>
      <c r="D52" s="815">
        <f t="shared" si="2"/>
        <v>9782</v>
      </c>
      <c r="E52" s="815">
        <f t="shared" si="3"/>
        <v>0</v>
      </c>
      <c r="F52" s="815">
        <v>0</v>
      </c>
      <c r="G52" s="815">
        <v>0</v>
      </c>
      <c r="H52" s="815">
        <f t="shared" si="4"/>
        <v>9782</v>
      </c>
      <c r="I52" s="818">
        <v>1533</v>
      </c>
      <c r="J52" s="818">
        <v>2363</v>
      </c>
      <c r="K52" s="818">
        <v>5886</v>
      </c>
      <c r="L52" s="818">
        <f t="shared" si="5"/>
        <v>0</v>
      </c>
      <c r="M52" s="818">
        <v>0</v>
      </c>
      <c r="N52" s="818">
        <v>0</v>
      </c>
      <c r="O52" s="828"/>
    </row>
    <row r="53" spans="1:15" x14ac:dyDescent="0.2">
      <c r="A53" s="160">
        <v>43</v>
      </c>
      <c r="B53" s="166" t="s">
        <v>126</v>
      </c>
      <c r="C53" s="49" t="s">
        <v>127</v>
      </c>
      <c r="D53" s="815">
        <f t="shared" si="2"/>
        <v>12225</v>
      </c>
      <c r="E53" s="815">
        <f t="shared" si="3"/>
        <v>0</v>
      </c>
      <c r="F53" s="815">
        <v>0</v>
      </c>
      <c r="G53" s="815">
        <v>0</v>
      </c>
      <c r="H53" s="815">
        <f t="shared" si="4"/>
        <v>12225</v>
      </c>
      <c r="I53" s="818">
        <v>305</v>
      </c>
      <c r="J53" s="818">
        <v>2364</v>
      </c>
      <c r="K53" s="818">
        <v>9556</v>
      </c>
      <c r="L53" s="818">
        <f t="shared" si="5"/>
        <v>0</v>
      </c>
      <c r="M53" s="818">
        <v>0</v>
      </c>
      <c r="N53" s="818">
        <v>0</v>
      </c>
      <c r="O53" s="828"/>
    </row>
    <row r="54" spans="1:15" x14ac:dyDescent="0.2">
      <c r="A54" s="160">
        <v>44</v>
      </c>
      <c r="B54" s="51" t="s">
        <v>128</v>
      </c>
      <c r="C54" s="49" t="s">
        <v>129</v>
      </c>
      <c r="D54" s="815">
        <f t="shared" si="2"/>
        <v>25521</v>
      </c>
      <c r="E54" s="815">
        <f t="shared" si="3"/>
        <v>0</v>
      </c>
      <c r="F54" s="815">
        <v>0</v>
      </c>
      <c r="G54" s="815">
        <v>0</v>
      </c>
      <c r="H54" s="815">
        <f t="shared" si="4"/>
        <v>25521</v>
      </c>
      <c r="I54" s="818">
        <v>1249</v>
      </c>
      <c r="J54" s="818">
        <v>5364</v>
      </c>
      <c r="K54" s="818">
        <v>18908</v>
      </c>
      <c r="L54" s="818">
        <f t="shared" si="5"/>
        <v>0</v>
      </c>
      <c r="M54" s="818">
        <v>0</v>
      </c>
      <c r="N54" s="818">
        <v>0</v>
      </c>
      <c r="O54" s="828"/>
    </row>
    <row r="55" spans="1:15" x14ac:dyDescent="0.2">
      <c r="A55" s="160">
        <v>45</v>
      </c>
      <c r="B55" s="166" t="s">
        <v>130</v>
      </c>
      <c r="C55" s="49" t="s">
        <v>131</v>
      </c>
      <c r="D55" s="815">
        <f t="shared" si="2"/>
        <v>3788</v>
      </c>
      <c r="E55" s="815">
        <f t="shared" si="3"/>
        <v>0</v>
      </c>
      <c r="F55" s="815">
        <v>0</v>
      </c>
      <c r="G55" s="815">
        <v>0</v>
      </c>
      <c r="H55" s="815">
        <f t="shared" si="4"/>
        <v>3788</v>
      </c>
      <c r="I55" s="818">
        <v>322</v>
      </c>
      <c r="J55" s="818">
        <v>0</v>
      </c>
      <c r="K55" s="818">
        <v>3466</v>
      </c>
      <c r="L55" s="818">
        <f t="shared" si="5"/>
        <v>0</v>
      </c>
      <c r="M55" s="818">
        <v>0</v>
      </c>
      <c r="N55" s="818">
        <v>0</v>
      </c>
      <c r="O55" s="828"/>
    </row>
    <row r="56" spans="1:15" x14ac:dyDescent="0.2">
      <c r="A56" s="160">
        <v>46</v>
      </c>
      <c r="B56" s="51" t="s">
        <v>132</v>
      </c>
      <c r="C56" s="49" t="s">
        <v>133</v>
      </c>
      <c r="D56" s="815">
        <f t="shared" si="2"/>
        <v>12230</v>
      </c>
      <c r="E56" s="815">
        <f t="shared" si="3"/>
        <v>0</v>
      </c>
      <c r="F56" s="815">
        <v>0</v>
      </c>
      <c r="G56" s="815">
        <v>0</v>
      </c>
      <c r="H56" s="815">
        <f t="shared" si="4"/>
        <v>12230</v>
      </c>
      <c r="I56" s="818">
        <v>1037</v>
      </c>
      <c r="J56" s="818">
        <v>2371</v>
      </c>
      <c r="K56" s="818">
        <v>8822</v>
      </c>
      <c r="L56" s="818">
        <f t="shared" si="5"/>
        <v>0</v>
      </c>
      <c r="M56" s="818">
        <v>0</v>
      </c>
      <c r="N56" s="818">
        <v>0</v>
      </c>
      <c r="O56" s="828"/>
    </row>
    <row r="57" spans="1:15" x14ac:dyDescent="0.2">
      <c r="A57" s="160">
        <v>47</v>
      </c>
      <c r="B57" s="166" t="s">
        <v>134</v>
      </c>
      <c r="C57" s="49" t="s">
        <v>135</v>
      </c>
      <c r="D57" s="815">
        <f t="shared" si="2"/>
        <v>14727</v>
      </c>
      <c r="E57" s="815">
        <f t="shared" si="3"/>
        <v>0</v>
      </c>
      <c r="F57" s="815">
        <v>0</v>
      </c>
      <c r="G57" s="815">
        <v>0</v>
      </c>
      <c r="H57" s="815">
        <f t="shared" si="4"/>
        <v>14727</v>
      </c>
      <c r="I57" s="818">
        <v>150</v>
      </c>
      <c r="J57" s="818">
        <v>2764</v>
      </c>
      <c r="K57" s="818">
        <v>11813</v>
      </c>
      <c r="L57" s="818">
        <f t="shared" si="5"/>
        <v>0</v>
      </c>
      <c r="M57" s="818">
        <v>0</v>
      </c>
      <c r="N57" s="818">
        <v>0</v>
      </c>
      <c r="O57" s="828"/>
    </row>
    <row r="58" spans="1:15" x14ac:dyDescent="0.2">
      <c r="A58" s="160">
        <v>48</v>
      </c>
      <c r="B58" s="166" t="s">
        <v>136</v>
      </c>
      <c r="C58" s="49" t="s">
        <v>137</v>
      </c>
      <c r="D58" s="815">
        <f t="shared" si="2"/>
        <v>74967</v>
      </c>
      <c r="E58" s="815">
        <f t="shared" si="3"/>
        <v>0</v>
      </c>
      <c r="F58" s="815">
        <v>0</v>
      </c>
      <c r="G58" s="815">
        <v>0</v>
      </c>
      <c r="H58" s="815">
        <f t="shared" si="4"/>
        <v>72035</v>
      </c>
      <c r="I58" s="818">
        <v>6185</v>
      </c>
      <c r="J58" s="818">
        <v>7114</v>
      </c>
      <c r="K58" s="818">
        <v>58736</v>
      </c>
      <c r="L58" s="818">
        <f t="shared" si="5"/>
        <v>2932</v>
      </c>
      <c r="M58" s="818">
        <v>2346</v>
      </c>
      <c r="N58" s="818">
        <v>586</v>
      </c>
      <c r="O58" s="828"/>
    </row>
    <row r="59" spans="1:15" x14ac:dyDescent="0.2">
      <c r="A59" s="160">
        <v>49</v>
      </c>
      <c r="B59" s="166" t="s">
        <v>138</v>
      </c>
      <c r="C59" s="49" t="s">
        <v>139</v>
      </c>
      <c r="D59" s="815">
        <f t="shared" si="2"/>
        <v>10663</v>
      </c>
      <c r="E59" s="815">
        <f t="shared" si="3"/>
        <v>0</v>
      </c>
      <c r="F59" s="815">
        <v>0</v>
      </c>
      <c r="G59" s="815">
        <v>0</v>
      </c>
      <c r="H59" s="815">
        <f t="shared" si="4"/>
        <v>10663</v>
      </c>
      <c r="I59" s="818">
        <v>0</v>
      </c>
      <c r="J59" s="818">
        <v>784</v>
      </c>
      <c r="K59" s="818">
        <v>9879</v>
      </c>
      <c r="L59" s="818">
        <f t="shared" si="5"/>
        <v>0</v>
      </c>
      <c r="M59" s="818">
        <v>0</v>
      </c>
      <c r="N59" s="818">
        <v>0</v>
      </c>
      <c r="O59" s="828"/>
    </row>
    <row r="60" spans="1:15" x14ac:dyDescent="0.2">
      <c r="A60" s="160">
        <v>50</v>
      </c>
      <c r="B60" s="166" t="s">
        <v>140</v>
      </c>
      <c r="C60" s="49" t="s">
        <v>141</v>
      </c>
      <c r="D60" s="815">
        <f t="shared" si="2"/>
        <v>8150</v>
      </c>
      <c r="E60" s="815">
        <f t="shared" si="3"/>
        <v>0</v>
      </c>
      <c r="F60" s="815">
        <v>0</v>
      </c>
      <c r="G60" s="815">
        <v>0</v>
      </c>
      <c r="H60" s="815">
        <f t="shared" si="4"/>
        <v>8150</v>
      </c>
      <c r="I60" s="818">
        <v>420</v>
      </c>
      <c r="J60" s="818">
        <v>686</v>
      </c>
      <c r="K60" s="818">
        <v>7044</v>
      </c>
      <c r="L60" s="818">
        <f t="shared" si="5"/>
        <v>0</v>
      </c>
      <c r="M60" s="818">
        <v>0</v>
      </c>
      <c r="N60" s="818">
        <v>0</v>
      </c>
      <c r="O60" s="828"/>
    </row>
    <row r="61" spans="1:15" x14ac:dyDescent="0.2">
      <c r="A61" s="160">
        <v>51</v>
      </c>
      <c r="B61" s="51" t="s">
        <v>142</v>
      </c>
      <c r="C61" s="49" t="s">
        <v>143</v>
      </c>
      <c r="D61" s="815">
        <f t="shared" si="2"/>
        <v>5237</v>
      </c>
      <c r="E61" s="815">
        <f t="shared" si="3"/>
        <v>0</v>
      </c>
      <c r="F61" s="815">
        <v>0</v>
      </c>
      <c r="G61" s="815">
        <v>0</v>
      </c>
      <c r="H61" s="815">
        <f t="shared" si="4"/>
        <v>5237</v>
      </c>
      <c r="I61" s="818">
        <v>605</v>
      </c>
      <c r="J61" s="818">
        <v>508</v>
      </c>
      <c r="K61" s="818">
        <v>4124</v>
      </c>
      <c r="L61" s="818">
        <f t="shared" si="5"/>
        <v>0</v>
      </c>
      <c r="M61" s="818">
        <v>0</v>
      </c>
      <c r="N61" s="818">
        <v>0</v>
      </c>
      <c r="O61" s="828"/>
    </row>
    <row r="62" spans="1:15" x14ac:dyDescent="0.2">
      <c r="A62" s="160">
        <v>52</v>
      </c>
      <c r="B62" s="166" t="s">
        <v>144</v>
      </c>
      <c r="C62" s="49" t="s">
        <v>145</v>
      </c>
      <c r="D62" s="815">
        <f t="shared" si="2"/>
        <v>0</v>
      </c>
      <c r="E62" s="815">
        <f t="shared" si="3"/>
        <v>0</v>
      </c>
      <c r="F62" s="815">
        <v>0</v>
      </c>
      <c r="G62" s="815">
        <v>0</v>
      </c>
      <c r="H62" s="815">
        <v>0</v>
      </c>
      <c r="I62" s="818">
        <v>0</v>
      </c>
      <c r="J62" s="818">
        <v>0</v>
      </c>
      <c r="K62" s="818">
        <v>0</v>
      </c>
      <c r="L62" s="818">
        <f t="shared" si="5"/>
        <v>0</v>
      </c>
      <c r="M62" s="818">
        <v>0</v>
      </c>
      <c r="N62" s="818">
        <v>0</v>
      </c>
      <c r="O62" s="828"/>
    </row>
    <row r="63" spans="1:15" x14ac:dyDescent="0.2">
      <c r="A63" s="160">
        <v>53</v>
      </c>
      <c r="B63" s="166" t="s">
        <v>146</v>
      </c>
      <c r="C63" s="49" t="s">
        <v>147</v>
      </c>
      <c r="D63" s="815">
        <f t="shared" si="2"/>
        <v>0</v>
      </c>
      <c r="E63" s="815">
        <f t="shared" si="3"/>
        <v>0</v>
      </c>
      <c r="F63" s="815">
        <v>0</v>
      </c>
      <c r="G63" s="815">
        <v>0</v>
      </c>
      <c r="H63" s="815">
        <v>0</v>
      </c>
      <c r="I63" s="818">
        <v>0</v>
      </c>
      <c r="J63" s="818">
        <v>0</v>
      </c>
      <c r="K63" s="818">
        <v>0</v>
      </c>
      <c r="L63" s="818">
        <f t="shared" si="5"/>
        <v>0</v>
      </c>
      <c r="M63" s="818">
        <v>0</v>
      </c>
      <c r="N63" s="818">
        <v>0</v>
      </c>
      <c r="O63" s="828"/>
    </row>
    <row r="64" spans="1:15" x14ac:dyDescent="0.2">
      <c r="A64" s="160">
        <v>54</v>
      </c>
      <c r="B64" s="166" t="s">
        <v>148</v>
      </c>
      <c r="C64" s="49" t="s">
        <v>149</v>
      </c>
      <c r="D64" s="815">
        <f t="shared" si="2"/>
        <v>73400</v>
      </c>
      <c r="E64" s="815">
        <f t="shared" si="3"/>
        <v>0</v>
      </c>
      <c r="F64" s="815">
        <v>0</v>
      </c>
      <c r="G64" s="815">
        <v>0</v>
      </c>
      <c r="H64" s="815">
        <f t="shared" si="4"/>
        <v>73400</v>
      </c>
      <c r="I64" s="818">
        <v>800</v>
      </c>
      <c r="J64" s="818">
        <v>0</v>
      </c>
      <c r="K64" s="818">
        <v>72600</v>
      </c>
      <c r="L64" s="818">
        <f t="shared" si="5"/>
        <v>0</v>
      </c>
      <c r="M64" s="818">
        <v>0</v>
      </c>
      <c r="N64" s="818">
        <v>0</v>
      </c>
      <c r="O64" s="828"/>
    </row>
    <row r="65" spans="1:15" x14ac:dyDescent="0.2">
      <c r="A65" s="160">
        <v>55</v>
      </c>
      <c r="B65" s="51" t="s">
        <v>150</v>
      </c>
      <c r="C65" s="49" t="s">
        <v>151</v>
      </c>
      <c r="D65" s="815">
        <f t="shared" si="2"/>
        <v>60060</v>
      </c>
      <c r="E65" s="815">
        <f t="shared" si="3"/>
        <v>0</v>
      </c>
      <c r="F65" s="815">
        <v>0</v>
      </c>
      <c r="G65" s="815">
        <v>0</v>
      </c>
      <c r="H65" s="815">
        <f t="shared" si="4"/>
        <v>60060</v>
      </c>
      <c r="I65" s="818">
        <v>460</v>
      </c>
      <c r="J65" s="818">
        <v>0</v>
      </c>
      <c r="K65" s="818">
        <v>59600</v>
      </c>
      <c r="L65" s="818">
        <f t="shared" si="5"/>
        <v>0</v>
      </c>
      <c r="M65" s="818">
        <v>0</v>
      </c>
      <c r="N65" s="818">
        <v>0</v>
      </c>
      <c r="O65" s="828"/>
    </row>
    <row r="66" spans="1:15" x14ac:dyDescent="0.2">
      <c r="A66" s="160">
        <v>56</v>
      </c>
      <c r="B66" s="51" t="s">
        <v>154</v>
      </c>
      <c r="C66" s="49" t="s">
        <v>155</v>
      </c>
      <c r="D66" s="815">
        <f t="shared" si="2"/>
        <v>115000</v>
      </c>
      <c r="E66" s="815">
        <f t="shared" si="3"/>
        <v>0</v>
      </c>
      <c r="F66" s="815">
        <v>0</v>
      </c>
      <c r="G66" s="815">
        <v>0</v>
      </c>
      <c r="H66" s="815">
        <f t="shared" si="4"/>
        <v>105652</v>
      </c>
      <c r="I66" s="818">
        <v>2111</v>
      </c>
      <c r="J66" s="818">
        <v>0</v>
      </c>
      <c r="K66" s="818">
        <v>103541</v>
      </c>
      <c r="L66" s="818">
        <f t="shared" si="5"/>
        <v>9348</v>
      </c>
      <c r="M66" s="818">
        <v>7478</v>
      </c>
      <c r="N66" s="818">
        <v>1870</v>
      </c>
      <c r="O66" s="828"/>
    </row>
    <row r="67" spans="1:15" ht="24" x14ac:dyDescent="0.2">
      <c r="A67" s="160">
        <v>57</v>
      </c>
      <c r="B67" s="48" t="s">
        <v>158</v>
      </c>
      <c r="C67" s="49" t="s">
        <v>159</v>
      </c>
      <c r="D67" s="815">
        <f t="shared" si="2"/>
        <v>0</v>
      </c>
      <c r="E67" s="815">
        <f t="shared" si="3"/>
        <v>0</v>
      </c>
      <c r="F67" s="815">
        <v>0</v>
      </c>
      <c r="G67" s="815">
        <v>0</v>
      </c>
      <c r="H67" s="815">
        <f t="shared" si="4"/>
        <v>0</v>
      </c>
      <c r="I67" s="818">
        <v>0</v>
      </c>
      <c r="J67" s="818">
        <v>0</v>
      </c>
      <c r="K67" s="818">
        <v>0</v>
      </c>
      <c r="L67" s="818">
        <f t="shared" si="5"/>
        <v>0</v>
      </c>
      <c r="M67" s="818">
        <v>0</v>
      </c>
      <c r="N67" s="818">
        <v>0</v>
      </c>
      <c r="O67" s="828"/>
    </row>
    <row r="68" spans="1:15" ht="24" x14ac:dyDescent="0.2">
      <c r="A68" s="160">
        <v>58</v>
      </c>
      <c r="B68" s="48" t="s">
        <v>160</v>
      </c>
      <c r="C68" s="49" t="s">
        <v>161</v>
      </c>
      <c r="D68" s="815">
        <f t="shared" si="2"/>
        <v>0</v>
      </c>
      <c r="E68" s="815">
        <f t="shared" si="3"/>
        <v>0</v>
      </c>
      <c r="F68" s="815">
        <v>0</v>
      </c>
      <c r="G68" s="815">
        <v>0</v>
      </c>
      <c r="H68" s="815">
        <f t="shared" si="4"/>
        <v>0</v>
      </c>
      <c r="I68" s="818">
        <v>0</v>
      </c>
      <c r="J68" s="818">
        <v>0</v>
      </c>
      <c r="K68" s="818">
        <v>0</v>
      </c>
      <c r="L68" s="818">
        <f t="shared" si="5"/>
        <v>0</v>
      </c>
      <c r="M68" s="818">
        <v>0</v>
      </c>
      <c r="N68" s="818">
        <v>0</v>
      </c>
      <c r="O68" s="828"/>
    </row>
    <row r="69" spans="1:15" x14ac:dyDescent="0.2">
      <c r="A69" s="160">
        <v>59</v>
      </c>
      <c r="B69" s="51" t="s">
        <v>162</v>
      </c>
      <c r="C69" s="49" t="s">
        <v>163</v>
      </c>
      <c r="D69" s="815">
        <f t="shared" si="2"/>
        <v>15884</v>
      </c>
      <c r="E69" s="815">
        <f t="shared" si="3"/>
        <v>0</v>
      </c>
      <c r="F69" s="815">
        <v>0</v>
      </c>
      <c r="G69" s="815">
        <v>0</v>
      </c>
      <c r="H69" s="815">
        <f t="shared" si="4"/>
        <v>15884</v>
      </c>
      <c r="I69" s="818">
        <v>2250</v>
      </c>
      <c r="J69" s="818">
        <v>0</v>
      </c>
      <c r="K69" s="818">
        <v>13634</v>
      </c>
      <c r="L69" s="818">
        <f t="shared" si="5"/>
        <v>0</v>
      </c>
      <c r="M69" s="818">
        <v>0</v>
      </c>
      <c r="N69" s="818">
        <v>0</v>
      </c>
      <c r="O69" s="828"/>
    </row>
    <row r="70" spans="1:15" x14ac:dyDescent="0.2">
      <c r="A70" s="160">
        <v>60</v>
      </c>
      <c r="B70" s="51" t="s">
        <v>164</v>
      </c>
      <c r="C70" s="49" t="s">
        <v>165</v>
      </c>
      <c r="D70" s="815">
        <f t="shared" si="2"/>
        <v>7892</v>
      </c>
      <c r="E70" s="815">
        <f t="shared" si="3"/>
        <v>0</v>
      </c>
      <c r="F70" s="815">
        <v>0</v>
      </c>
      <c r="G70" s="815">
        <v>0</v>
      </c>
      <c r="H70" s="815">
        <f t="shared" si="4"/>
        <v>7892</v>
      </c>
      <c r="I70" s="818">
        <v>1000</v>
      </c>
      <c r="J70" s="818">
        <v>0</v>
      </c>
      <c r="K70" s="818">
        <v>6892</v>
      </c>
      <c r="L70" s="818">
        <f t="shared" si="5"/>
        <v>0</v>
      </c>
      <c r="M70" s="818">
        <v>0</v>
      </c>
      <c r="N70" s="818">
        <v>0</v>
      </c>
      <c r="O70" s="828"/>
    </row>
    <row r="71" spans="1:15" x14ac:dyDescent="0.2">
      <c r="A71" s="160">
        <v>61</v>
      </c>
      <c r="B71" s="51" t="s">
        <v>166</v>
      </c>
      <c r="C71" s="49" t="s">
        <v>167</v>
      </c>
      <c r="D71" s="815">
        <f t="shared" si="2"/>
        <v>13858</v>
      </c>
      <c r="E71" s="815">
        <f t="shared" si="3"/>
        <v>0</v>
      </c>
      <c r="F71" s="815">
        <v>0</v>
      </c>
      <c r="G71" s="815">
        <v>0</v>
      </c>
      <c r="H71" s="815">
        <f t="shared" si="4"/>
        <v>13858</v>
      </c>
      <c r="I71" s="818">
        <v>8259</v>
      </c>
      <c r="J71" s="818">
        <v>0</v>
      </c>
      <c r="K71" s="818">
        <v>5599</v>
      </c>
      <c r="L71" s="818">
        <f t="shared" si="5"/>
        <v>0</v>
      </c>
      <c r="M71" s="818">
        <v>0</v>
      </c>
      <c r="N71" s="818">
        <v>0</v>
      </c>
      <c r="O71" s="828"/>
    </row>
    <row r="72" spans="1:15" ht="24" x14ac:dyDescent="0.2">
      <c r="A72" s="894">
        <v>62</v>
      </c>
      <c r="B72" s="48" t="s">
        <v>170</v>
      </c>
      <c r="C72" s="56" t="s">
        <v>770</v>
      </c>
      <c r="D72" s="815">
        <f t="shared" si="2"/>
        <v>2746</v>
      </c>
      <c r="E72" s="815">
        <f t="shared" si="3"/>
        <v>0</v>
      </c>
      <c r="F72" s="815">
        <v>0</v>
      </c>
      <c r="G72" s="815">
        <v>0</v>
      </c>
      <c r="H72" s="815">
        <f t="shared" si="4"/>
        <v>2746</v>
      </c>
      <c r="I72" s="818">
        <v>0</v>
      </c>
      <c r="J72" s="818">
        <v>2746</v>
      </c>
      <c r="K72" s="818">
        <v>0</v>
      </c>
      <c r="L72" s="818">
        <f t="shared" si="5"/>
        <v>0</v>
      </c>
      <c r="M72" s="818">
        <v>0</v>
      </c>
      <c r="N72" s="818">
        <v>0</v>
      </c>
      <c r="O72" s="828"/>
    </row>
    <row r="73" spans="1:15" x14ac:dyDescent="0.2">
      <c r="A73" s="895"/>
      <c r="B73" s="51" t="s">
        <v>168</v>
      </c>
      <c r="C73" s="49" t="s">
        <v>169</v>
      </c>
      <c r="D73" s="815">
        <f t="shared" si="2"/>
        <v>361</v>
      </c>
      <c r="E73" s="815">
        <f t="shared" si="3"/>
        <v>0</v>
      </c>
      <c r="F73" s="815">
        <v>0</v>
      </c>
      <c r="G73" s="815">
        <v>0</v>
      </c>
      <c r="H73" s="815">
        <f t="shared" si="4"/>
        <v>361</v>
      </c>
      <c r="I73" s="818">
        <v>0</v>
      </c>
      <c r="J73" s="818">
        <v>361</v>
      </c>
      <c r="K73" s="818">
        <v>0</v>
      </c>
      <c r="L73" s="818">
        <f t="shared" si="5"/>
        <v>0</v>
      </c>
      <c r="M73" s="818">
        <v>0</v>
      </c>
      <c r="N73" s="818">
        <v>0</v>
      </c>
      <c r="O73" s="828"/>
    </row>
    <row r="74" spans="1:15" x14ac:dyDescent="0.2">
      <c r="A74" s="896"/>
      <c r="B74" s="51" t="s">
        <v>174</v>
      </c>
      <c r="C74" s="49" t="s">
        <v>175</v>
      </c>
      <c r="D74" s="815">
        <f t="shared" si="2"/>
        <v>554</v>
      </c>
      <c r="E74" s="815">
        <f t="shared" si="3"/>
        <v>0</v>
      </c>
      <c r="F74" s="815">
        <v>0</v>
      </c>
      <c r="G74" s="815">
        <v>0</v>
      </c>
      <c r="H74" s="815">
        <f t="shared" si="4"/>
        <v>554</v>
      </c>
      <c r="I74" s="818">
        <v>0</v>
      </c>
      <c r="J74" s="818">
        <v>554</v>
      </c>
      <c r="K74" s="818">
        <v>0</v>
      </c>
      <c r="L74" s="818">
        <f t="shared" si="5"/>
        <v>0</v>
      </c>
      <c r="M74" s="818">
        <v>0</v>
      </c>
      <c r="N74" s="818">
        <v>0</v>
      </c>
      <c r="O74" s="828"/>
    </row>
    <row r="75" spans="1:15" ht="24" x14ac:dyDescent="0.2">
      <c r="A75" s="894">
        <v>63</v>
      </c>
      <c r="B75" s="617" t="s">
        <v>176</v>
      </c>
      <c r="C75" s="56" t="s">
        <v>773</v>
      </c>
      <c r="D75" s="815">
        <f t="shared" ref="D75:D141" si="6">E75+H75+L75</f>
        <v>5781</v>
      </c>
      <c r="E75" s="815">
        <f t="shared" ref="E75:E141" si="7">F75+G75</f>
        <v>0</v>
      </c>
      <c r="F75" s="815">
        <v>0</v>
      </c>
      <c r="G75" s="815">
        <v>0</v>
      </c>
      <c r="H75" s="815">
        <f t="shared" ref="H75:H139" si="8">I75+J75+K75</f>
        <v>5781</v>
      </c>
      <c r="I75" s="818">
        <v>0</v>
      </c>
      <c r="J75" s="818">
        <v>5781</v>
      </c>
      <c r="K75" s="818">
        <v>0</v>
      </c>
      <c r="L75" s="818">
        <f t="shared" ref="L75:L141" si="9">M75+N75</f>
        <v>0</v>
      </c>
      <c r="M75" s="818">
        <v>0</v>
      </c>
      <c r="N75" s="818">
        <v>0</v>
      </c>
      <c r="O75" s="828"/>
    </row>
    <row r="76" spans="1:15" x14ac:dyDescent="0.2">
      <c r="A76" s="895"/>
      <c r="B76" s="51" t="s">
        <v>172</v>
      </c>
      <c r="C76" s="49" t="s">
        <v>173</v>
      </c>
      <c r="D76" s="815">
        <f t="shared" si="6"/>
        <v>95</v>
      </c>
      <c r="E76" s="815">
        <v>0</v>
      </c>
      <c r="F76" s="815">
        <v>0</v>
      </c>
      <c r="G76" s="815">
        <v>0</v>
      </c>
      <c r="H76" s="815">
        <f t="shared" si="8"/>
        <v>95</v>
      </c>
      <c r="I76" s="818">
        <v>0</v>
      </c>
      <c r="J76" s="818">
        <v>95</v>
      </c>
      <c r="K76" s="818">
        <v>0</v>
      </c>
      <c r="L76" s="818">
        <v>0</v>
      </c>
      <c r="M76" s="818">
        <v>0</v>
      </c>
      <c r="N76" s="818">
        <v>0</v>
      </c>
      <c r="O76" s="828"/>
    </row>
    <row r="77" spans="1:15" x14ac:dyDescent="0.2">
      <c r="A77" s="895"/>
      <c r="B77" s="48" t="s">
        <v>178</v>
      </c>
      <c r="C77" s="49" t="s">
        <v>179</v>
      </c>
      <c r="D77" s="815">
        <f t="shared" si="6"/>
        <v>214</v>
      </c>
      <c r="E77" s="815">
        <f t="shared" si="7"/>
        <v>0</v>
      </c>
      <c r="F77" s="815">
        <v>0</v>
      </c>
      <c r="G77" s="815">
        <v>0</v>
      </c>
      <c r="H77" s="815">
        <f t="shared" si="8"/>
        <v>214</v>
      </c>
      <c r="I77" s="818">
        <v>0</v>
      </c>
      <c r="J77" s="818">
        <v>214</v>
      </c>
      <c r="K77" s="818">
        <v>0</v>
      </c>
      <c r="L77" s="818">
        <f t="shared" si="9"/>
        <v>0</v>
      </c>
      <c r="M77" s="818">
        <v>0</v>
      </c>
      <c r="N77" s="818">
        <v>0</v>
      </c>
      <c r="O77" s="828"/>
    </row>
    <row r="78" spans="1:15" x14ac:dyDescent="0.2">
      <c r="A78" s="896"/>
      <c r="B78" s="48" t="s">
        <v>180</v>
      </c>
      <c r="C78" s="49" t="s">
        <v>181</v>
      </c>
      <c r="D78" s="815">
        <f t="shared" si="6"/>
        <v>1125</v>
      </c>
      <c r="E78" s="815">
        <f t="shared" si="7"/>
        <v>0</v>
      </c>
      <c r="F78" s="815">
        <v>0</v>
      </c>
      <c r="G78" s="815">
        <v>0</v>
      </c>
      <c r="H78" s="815">
        <f t="shared" si="8"/>
        <v>1125</v>
      </c>
      <c r="I78" s="818">
        <v>0</v>
      </c>
      <c r="J78" s="818">
        <v>1125</v>
      </c>
      <c r="K78" s="818">
        <v>0</v>
      </c>
      <c r="L78" s="818">
        <f t="shared" si="9"/>
        <v>0</v>
      </c>
      <c r="M78" s="818">
        <v>0</v>
      </c>
      <c r="N78" s="818">
        <v>0</v>
      </c>
      <c r="O78" s="828"/>
    </row>
    <row r="79" spans="1:15" x14ac:dyDescent="0.2">
      <c r="A79" s="160">
        <v>64</v>
      </c>
      <c r="B79" s="166" t="s">
        <v>182</v>
      </c>
      <c r="C79" s="49" t="s">
        <v>183</v>
      </c>
      <c r="D79" s="815">
        <f t="shared" si="6"/>
        <v>65688</v>
      </c>
      <c r="E79" s="815">
        <f t="shared" si="7"/>
        <v>0</v>
      </c>
      <c r="F79" s="815">
        <v>0</v>
      </c>
      <c r="G79" s="815">
        <v>0</v>
      </c>
      <c r="H79" s="815">
        <f t="shared" si="8"/>
        <v>65688</v>
      </c>
      <c r="I79" s="818">
        <v>8500</v>
      </c>
      <c r="J79" s="818">
        <v>4936</v>
      </c>
      <c r="K79" s="818">
        <v>52252</v>
      </c>
      <c r="L79" s="818">
        <f t="shared" si="9"/>
        <v>0</v>
      </c>
      <c r="M79" s="818">
        <v>0</v>
      </c>
      <c r="N79" s="818">
        <v>0</v>
      </c>
      <c r="O79" s="828"/>
    </row>
    <row r="80" spans="1:15" x14ac:dyDescent="0.2">
      <c r="A80" s="160">
        <v>65</v>
      </c>
      <c r="B80" s="48" t="s">
        <v>184</v>
      </c>
      <c r="C80" s="49" t="s">
        <v>185</v>
      </c>
      <c r="D80" s="815">
        <f t="shared" si="6"/>
        <v>30752</v>
      </c>
      <c r="E80" s="815">
        <f t="shared" si="7"/>
        <v>0</v>
      </c>
      <c r="F80" s="815">
        <v>0</v>
      </c>
      <c r="G80" s="815">
        <v>0</v>
      </c>
      <c r="H80" s="815">
        <f t="shared" si="8"/>
        <v>30752</v>
      </c>
      <c r="I80" s="818">
        <v>8780</v>
      </c>
      <c r="J80" s="818">
        <v>0</v>
      </c>
      <c r="K80" s="818">
        <v>21972</v>
      </c>
      <c r="L80" s="818">
        <f t="shared" si="9"/>
        <v>0</v>
      </c>
      <c r="M80" s="818">
        <v>0</v>
      </c>
      <c r="N80" s="818">
        <v>0</v>
      </c>
      <c r="O80" s="828"/>
    </row>
    <row r="81" spans="1:15" x14ac:dyDescent="0.2">
      <c r="A81" s="160">
        <v>66</v>
      </c>
      <c r="B81" s="166" t="s">
        <v>186</v>
      </c>
      <c r="C81" s="49" t="s">
        <v>187</v>
      </c>
      <c r="D81" s="815">
        <f t="shared" si="6"/>
        <v>12889</v>
      </c>
      <c r="E81" s="815">
        <f t="shared" si="7"/>
        <v>0</v>
      </c>
      <c r="F81" s="815">
        <v>0</v>
      </c>
      <c r="G81" s="815">
        <v>0</v>
      </c>
      <c r="H81" s="815">
        <f t="shared" si="8"/>
        <v>12889</v>
      </c>
      <c r="I81" s="818">
        <v>1000</v>
      </c>
      <c r="J81" s="818">
        <v>2894</v>
      </c>
      <c r="K81" s="818">
        <v>8995</v>
      </c>
      <c r="L81" s="818">
        <f t="shared" si="9"/>
        <v>0</v>
      </c>
      <c r="M81" s="818">
        <v>0</v>
      </c>
      <c r="N81" s="818">
        <v>0</v>
      </c>
      <c r="O81" s="828"/>
    </row>
    <row r="82" spans="1:15" x14ac:dyDescent="0.2">
      <c r="A82" s="894">
        <v>67</v>
      </c>
      <c r="B82" s="617" t="s">
        <v>188</v>
      </c>
      <c r="C82" s="56" t="s">
        <v>777</v>
      </c>
      <c r="D82" s="815">
        <f t="shared" si="6"/>
        <v>57273</v>
      </c>
      <c r="E82" s="815">
        <f t="shared" si="7"/>
        <v>0</v>
      </c>
      <c r="F82" s="815">
        <v>0</v>
      </c>
      <c r="G82" s="815">
        <v>0</v>
      </c>
      <c r="H82" s="815">
        <f t="shared" si="8"/>
        <v>51374</v>
      </c>
      <c r="I82" s="818">
        <v>2012</v>
      </c>
      <c r="J82" s="818">
        <v>2458</v>
      </c>
      <c r="K82" s="818">
        <v>46904</v>
      </c>
      <c r="L82" s="818">
        <f t="shared" si="9"/>
        <v>5899</v>
      </c>
      <c r="M82" s="818">
        <v>4719</v>
      </c>
      <c r="N82" s="818">
        <v>1180</v>
      </c>
      <c r="O82" s="828"/>
    </row>
    <row r="83" spans="1:15" x14ac:dyDescent="0.2">
      <c r="A83" s="896"/>
      <c r="B83" s="166" t="s">
        <v>156</v>
      </c>
      <c r="C83" s="49" t="s">
        <v>157</v>
      </c>
      <c r="D83" s="815">
        <f t="shared" si="6"/>
        <v>16425</v>
      </c>
      <c r="E83" s="815">
        <f t="shared" si="7"/>
        <v>0</v>
      </c>
      <c r="F83" s="815">
        <v>0</v>
      </c>
      <c r="G83" s="815">
        <v>0</v>
      </c>
      <c r="H83" s="815">
        <f t="shared" si="8"/>
        <v>14814</v>
      </c>
      <c r="I83" s="818">
        <v>447</v>
      </c>
      <c r="J83" s="818">
        <v>444</v>
      </c>
      <c r="K83" s="818">
        <v>13923</v>
      </c>
      <c r="L83" s="818">
        <f t="shared" si="9"/>
        <v>1611</v>
      </c>
      <c r="M83" s="818">
        <v>1557</v>
      </c>
      <c r="N83" s="818">
        <v>54</v>
      </c>
      <c r="O83" s="828"/>
    </row>
    <row r="84" spans="1:15" x14ac:dyDescent="0.2">
      <c r="A84" s="160">
        <v>68</v>
      </c>
      <c r="B84" s="48" t="s">
        <v>190</v>
      </c>
      <c r="C84" s="49" t="s">
        <v>191</v>
      </c>
      <c r="D84" s="815">
        <f t="shared" si="6"/>
        <v>41860</v>
      </c>
      <c r="E84" s="815">
        <f t="shared" si="7"/>
        <v>0</v>
      </c>
      <c r="F84" s="815">
        <v>0</v>
      </c>
      <c r="G84" s="815">
        <v>0</v>
      </c>
      <c r="H84" s="815">
        <f t="shared" si="8"/>
        <v>41860</v>
      </c>
      <c r="I84" s="818">
        <v>10000</v>
      </c>
      <c r="J84" s="818">
        <v>0</v>
      </c>
      <c r="K84" s="818">
        <v>31860</v>
      </c>
      <c r="L84" s="818">
        <f t="shared" si="9"/>
        <v>0</v>
      </c>
      <c r="M84" s="818">
        <v>0</v>
      </c>
      <c r="N84" s="818">
        <v>0</v>
      </c>
      <c r="O84" s="828"/>
    </row>
    <row r="85" spans="1:15" x14ac:dyDescent="0.2">
      <c r="A85" s="894">
        <v>69</v>
      </c>
      <c r="B85" s="617" t="s">
        <v>192</v>
      </c>
      <c r="C85" s="56" t="s">
        <v>772</v>
      </c>
      <c r="D85" s="815">
        <f t="shared" si="6"/>
        <v>126798</v>
      </c>
      <c r="E85" s="815">
        <f t="shared" si="7"/>
        <v>0</v>
      </c>
      <c r="F85" s="815">
        <v>0</v>
      </c>
      <c r="G85" s="815">
        <v>0</v>
      </c>
      <c r="H85" s="815">
        <f t="shared" si="8"/>
        <v>120083</v>
      </c>
      <c r="I85" s="818">
        <v>2060</v>
      </c>
      <c r="J85" s="818">
        <v>507</v>
      </c>
      <c r="K85" s="818">
        <v>117516</v>
      </c>
      <c r="L85" s="818">
        <f t="shared" si="9"/>
        <v>6715</v>
      </c>
      <c r="M85" s="818">
        <v>5372</v>
      </c>
      <c r="N85" s="818">
        <v>1343</v>
      </c>
      <c r="O85" s="828"/>
    </row>
    <row r="86" spans="1:15" x14ac:dyDescent="0.2">
      <c r="A86" s="896"/>
      <c r="B86" s="48" t="s">
        <v>152</v>
      </c>
      <c r="C86" s="49" t="s">
        <v>153</v>
      </c>
      <c r="D86" s="815">
        <f t="shared" si="6"/>
        <v>21599</v>
      </c>
      <c r="E86" s="815"/>
      <c r="F86" s="815"/>
      <c r="G86" s="815"/>
      <c r="H86" s="815">
        <f t="shared" si="8"/>
        <v>21599</v>
      </c>
      <c r="I86" s="818">
        <v>200</v>
      </c>
      <c r="J86" s="818">
        <v>169</v>
      </c>
      <c r="K86" s="818">
        <v>21230</v>
      </c>
      <c r="L86" s="818">
        <f t="shared" si="9"/>
        <v>0</v>
      </c>
      <c r="M86" s="818"/>
      <c r="N86" s="818"/>
      <c r="O86" s="828"/>
    </row>
    <row r="87" spans="1:15" x14ac:dyDescent="0.2">
      <c r="A87" s="160">
        <v>70</v>
      </c>
      <c r="B87" s="48" t="s">
        <v>194</v>
      </c>
      <c r="C87" s="49" t="s">
        <v>195</v>
      </c>
      <c r="D87" s="815">
        <f t="shared" si="6"/>
        <v>25697</v>
      </c>
      <c r="E87" s="815">
        <f t="shared" si="7"/>
        <v>0</v>
      </c>
      <c r="F87" s="815">
        <v>0</v>
      </c>
      <c r="G87" s="815">
        <v>0</v>
      </c>
      <c r="H87" s="815">
        <f t="shared" si="8"/>
        <v>25697</v>
      </c>
      <c r="I87" s="818">
        <v>6427</v>
      </c>
      <c r="J87" s="818">
        <v>538</v>
      </c>
      <c r="K87" s="818">
        <v>18732</v>
      </c>
      <c r="L87" s="818">
        <f t="shared" si="9"/>
        <v>0</v>
      </c>
      <c r="M87" s="818">
        <v>0</v>
      </c>
      <c r="N87" s="818">
        <v>0</v>
      </c>
      <c r="O87" s="828"/>
    </row>
    <row r="88" spans="1:15" x14ac:dyDescent="0.2">
      <c r="A88" s="160">
        <v>71</v>
      </c>
      <c r="B88" s="48" t="s">
        <v>196</v>
      </c>
      <c r="C88" s="49" t="s">
        <v>197</v>
      </c>
      <c r="D88" s="815">
        <f t="shared" si="6"/>
        <v>32748</v>
      </c>
      <c r="E88" s="815">
        <f t="shared" si="7"/>
        <v>32748</v>
      </c>
      <c r="F88" s="815">
        <v>2300</v>
      </c>
      <c r="G88" s="815">
        <v>30448</v>
      </c>
      <c r="H88" s="815">
        <f t="shared" si="8"/>
        <v>0</v>
      </c>
      <c r="I88" s="818">
        <v>0</v>
      </c>
      <c r="J88" s="818">
        <v>0</v>
      </c>
      <c r="K88" s="818">
        <v>0</v>
      </c>
      <c r="L88" s="818">
        <f t="shared" si="9"/>
        <v>0</v>
      </c>
      <c r="M88" s="818">
        <v>0</v>
      </c>
      <c r="N88" s="818">
        <v>0</v>
      </c>
      <c r="O88" s="828"/>
    </row>
    <row r="89" spans="1:15" x14ac:dyDescent="0.2">
      <c r="A89" s="160">
        <v>72</v>
      </c>
      <c r="B89" s="51" t="s">
        <v>30</v>
      </c>
      <c r="C89" s="49" t="s">
        <v>198</v>
      </c>
      <c r="D89" s="815">
        <f t="shared" si="6"/>
        <v>0</v>
      </c>
      <c r="E89" s="815">
        <f t="shared" si="7"/>
        <v>0</v>
      </c>
      <c r="F89" s="815">
        <v>0</v>
      </c>
      <c r="G89" s="815">
        <v>0</v>
      </c>
      <c r="H89" s="815">
        <f t="shared" si="8"/>
        <v>0</v>
      </c>
      <c r="I89" s="818">
        <v>0</v>
      </c>
      <c r="J89" s="818">
        <v>0</v>
      </c>
      <c r="K89" s="818">
        <v>0</v>
      </c>
      <c r="L89" s="818">
        <f t="shared" si="9"/>
        <v>0</v>
      </c>
      <c r="M89" s="818">
        <v>0</v>
      </c>
      <c r="N89" s="818">
        <v>0</v>
      </c>
      <c r="O89" s="828"/>
    </row>
    <row r="90" spans="1:15" ht="25.5" customHeight="1" x14ac:dyDescent="0.2">
      <c r="A90" s="933">
        <v>73</v>
      </c>
      <c r="B90" s="897" t="s">
        <v>199</v>
      </c>
      <c r="C90" s="56" t="s">
        <v>200</v>
      </c>
      <c r="D90" s="815">
        <f t="shared" si="6"/>
        <v>905</v>
      </c>
      <c r="E90" s="815">
        <f t="shared" si="7"/>
        <v>0</v>
      </c>
      <c r="F90" s="815">
        <v>0</v>
      </c>
      <c r="G90" s="815">
        <v>0</v>
      </c>
      <c r="H90" s="815">
        <f t="shared" si="8"/>
        <v>905</v>
      </c>
      <c r="I90" s="818">
        <v>0</v>
      </c>
      <c r="J90" s="818">
        <v>0</v>
      </c>
      <c r="K90" s="818">
        <v>905</v>
      </c>
      <c r="L90" s="818">
        <f t="shared" si="9"/>
        <v>0</v>
      </c>
      <c r="M90" s="818">
        <v>0</v>
      </c>
      <c r="N90" s="818">
        <v>0</v>
      </c>
      <c r="O90" s="828"/>
    </row>
    <row r="91" spans="1:15" ht="33.75" customHeight="1" x14ac:dyDescent="0.2">
      <c r="A91" s="934"/>
      <c r="B91" s="898"/>
      <c r="C91" s="49" t="s">
        <v>201</v>
      </c>
      <c r="D91" s="815">
        <f t="shared" si="6"/>
        <v>905</v>
      </c>
      <c r="E91" s="815">
        <f t="shared" si="7"/>
        <v>0</v>
      </c>
      <c r="F91" s="815">
        <v>0</v>
      </c>
      <c r="G91" s="815">
        <v>0</v>
      </c>
      <c r="H91" s="815">
        <f t="shared" si="8"/>
        <v>905</v>
      </c>
      <c r="I91" s="818">
        <v>0</v>
      </c>
      <c r="J91" s="818">
        <v>0</v>
      </c>
      <c r="K91" s="818">
        <v>905</v>
      </c>
      <c r="L91" s="818">
        <f t="shared" si="9"/>
        <v>0</v>
      </c>
      <c r="M91" s="818">
        <v>0</v>
      </c>
      <c r="N91" s="818">
        <v>0</v>
      </c>
      <c r="O91" s="828"/>
    </row>
    <row r="92" spans="1:15" ht="24" x14ac:dyDescent="0.2">
      <c r="A92" s="934"/>
      <c r="B92" s="898"/>
      <c r="C92" s="49" t="s">
        <v>202</v>
      </c>
      <c r="D92" s="815">
        <f t="shared" si="6"/>
        <v>0</v>
      </c>
      <c r="E92" s="815">
        <f t="shared" si="7"/>
        <v>0</v>
      </c>
      <c r="F92" s="815">
        <v>0</v>
      </c>
      <c r="G92" s="815">
        <v>0</v>
      </c>
      <c r="H92" s="815">
        <f t="shared" si="8"/>
        <v>0</v>
      </c>
      <c r="I92" s="818">
        <v>0</v>
      </c>
      <c r="J92" s="818">
        <v>0</v>
      </c>
      <c r="K92" s="818">
        <v>0</v>
      </c>
      <c r="L92" s="818">
        <f t="shared" si="9"/>
        <v>0</v>
      </c>
      <c r="M92" s="818">
        <v>0</v>
      </c>
      <c r="N92" s="818">
        <v>0</v>
      </c>
      <c r="O92" s="828"/>
    </row>
    <row r="93" spans="1:15" ht="36" x14ac:dyDescent="0.2">
      <c r="A93" s="935"/>
      <c r="B93" s="899"/>
      <c r="C93" s="57" t="s">
        <v>203</v>
      </c>
      <c r="D93" s="815">
        <f t="shared" si="6"/>
        <v>0</v>
      </c>
      <c r="E93" s="815">
        <f t="shared" si="7"/>
        <v>0</v>
      </c>
      <c r="F93" s="815">
        <v>0</v>
      </c>
      <c r="G93" s="815">
        <v>0</v>
      </c>
      <c r="H93" s="815">
        <v>0</v>
      </c>
      <c r="I93" s="818">
        <v>0</v>
      </c>
      <c r="J93" s="818">
        <v>0</v>
      </c>
      <c r="K93" s="818">
        <v>0</v>
      </c>
      <c r="L93" s="818">
        <f t="shared" si="9"/>
        <v>0</v>
      </c>
      <c r="M93" s="818">
        <v>0</v>
      </c>
      <c r="N93" s="818">
        <v>0</v>
      </c>
      <c r="O93" s="828"/>
    </row>
    <row r="94" spans="1:15" ht="24" x14ac:dyDescent="0.2">
      <c r="A94" s="160">
        <v>74</v>
      </c>
      <c r="B94" s="51" t="s">
        <v>204</v>
      </c>
      <c r="C94" s="49" t="s">
        <v>205</v>
      </c>
      <c r="D94" s="815">
        <f t="shared" si="6"/>
        <v>0</v>
      </c>
      <c r="E94" s="815">
        <f t="shared" si="7"/>
        <v>0</v>
      </c>
      <c r="F94" s="815">
        <v>0</v>
      </c>
      <c r="G94" s="815">
        <v>0</v>
      </c>
      <c r="H94" s="815">
        <f t="shared" si="8"/>
        <v>0</v>
      </c>
      <c r="I94" s="818">
        <v>0</v>
      </c>
      <c r="J94" s="818">
        <v>0</v>
      </c>
      <c r="K94" s="818">
        <v>0</v>
      </c>
      <c r="L94" s="818">
        <f t="shared" si="9"/>
        <v>0</v>
      </c>
      <c r="M94" s="818">
        <v>0</v>
      </c>
      <c r="N94" s="818">
        <v>0</v>
      </c>
      <c r="O94" s="828"/>
    </row>
    <row r="95" spans="1:15" x14ac:dyDescent="0.2">
      <c r="A95" s="160">
        <v>75</v>
      </c>
      <c r="B95" s="51" t="s">
        <v>206</v>
      </c>
      <c r="C95" s="49" t="s">
        <v>207</v>
      </c>
      <c r="D95" s="815">
        <f t="shared" si="6"/>
        <v>1987</v>
      </c>
      <c r="E95" s="815">
        <f t="shared" si="7"/>
        <v>0</v>
      </c>
      <c r="F95" s="815">
        <v>0</v>
      </c>
      <c r="G95" s="815">
        <v>0</v>
      </c>
      <c r="H95" s="815">
        <f t="shared" si="8"/>
        <v>1987</v>
      </c>
      <c r="I95" s="818">
        <v>100</v>
      </c>
      <c r="J95" s="818">
        <v>128</v>
      </c>
      <c r="K95" s="818">
        <v>1759</v>
      </c>
      <c r="L95" s="818">
        <f t="shared" si="9"/>
        <v>0</v>
      </c>
      <c r="M95" s="818">
        <v>0</v>
      </c>
      <c r="N95" s="818">
        <v>0</v>
      </c>
      <c r="O95" s="828"/>
    </row>
    <row r="96" spans="1:15" x14ac:dyDescent="0.2">
      <c r="A96" s="160">
        <v>76</v>
      </c>
      <c r="B96" s="166" t="s">
        <v>208</v>
      </c>
      <c r="C96" s="49" t="s">
        <v>209</v>
      </c>
      <c r="D96" s="815">
        <f t="shared" si="6"/>
        <v>3571</v>
      </c>
      <c r="E96" s="815">
        <f t="shared" si="7"/>
        <v>0</v>
      </c>
      <c r="F96" s="815">
        <v>0</v>
      </c>
      <c r="G96" s="815">
        <v>0</v>
      </c>
      <c r="H96" s="815">
        <f t="shared" si="8"/>
        <v>3571</v>
      </c>
      <c r="I96" s="818">
        <v>460</v>
      </c>
      <c r="J96" s="818">
        <v>816</v>
      </c>
      <c r="K96" s="818">
        <v>2295</v>
      </c>
      <c r="L96" s="818">
        <f t="shared" si="9"/>
        <v>0</v>
      </c>
      <c r="M96" s="818">
        <v>0</v>
      </c>
      <c r="N96" s="818">
        <v>0</v>
      </c>
      <c r="O96" s="828"/>
    </row>
    <row r="97" spans="1:15" x14ac:dyDescent="0.2">
      <c r="A97" s="160">
        <v>77</v>
      </c>
      <c r="B97" s="51" t="s">
        <v>210</v>
      </c>
      <c r="C97" s="49" t="s">
        <v>211</v>
      </c>
      <c r="D97" s="815">
        <f t="shared" si="6"/>
        <v>6597</v>
      </c>
      <c r="E97" s="815">
        <f t="shared" si="7"/>
        <v>0</v>
      </c>
      <c r="F97" s="815">
        <v>0</v>
      </c>
      <c r="G97" s="815">
        <v>0</v>
      </c>
      <c r="H97" s="815">
        <f t="shared" si="8"/>
        <v>6597</v>
      </c>
      <c r="I97" s="818">
        <v>150</v>
      </c>
      <c r="J97" s="818">
        <v>985</v>
      </c>
      <c r="K97" s="818">
        <v>5462</v>
      </c>
      <c r="L97" s="818">
        <f t="shared" si="9"/>
        <v>0</v>
      </c>
      <c r="M97" s="818">
        <v>0</v>
      </c>
      <c r="N97" s="818">
        <v>0</v>
      </c>
      <c r="O97" s="828"/>
    </row>
    <row r="98" spans="1:15" x14ac:dyDescent="0.2">
      <c r="A98" s="160">
        <v>78</v>
      </c>
      <c r="B98" s="166" t="s">
        <v>212</v>
      </c>
      <c r="C98" s="49" t="s">
        <v>213</v>
      </c>
      <c r="D98" s="815">
        <f t="shared" si="6"/>
        <v>8088</v>
      </c>
      <c r="E98" s="815">
        <f t="shared" si="7"/>
        <v>0</v>
      </c>
      <c r="F98" s="815">
        <v>0</v>
      </c>
      <c r="G98" s="815">
        <v>0</v>
      </c>
      <c r="H98" s="815">
        <f t="shared" si="8"/>
        <v>8088</v>
      </c>
      <c r="I98" s="818">
        <v>0</v>
      </c>
      <c r="J98" s="818">
        <v>311</v>
      </c>
      <c r="K98" s="818">
        <v>7777</v>
      </c>
      <c r="L98" s="818">
        <f t="shared" si="9"/>
        <v>0</v>
      </c>
      <c r="M98" s="818">
        <v>0</v>
      </c>
      <c r="N98" s="818">
        <v>0</v>
      </c>
      <c r="O98" s="828"/>
    </row>
    <row r="99" spans="1:15" x14ac:dyDescent="0.2">
      <c r="A99" s="160">
        <v>79</v>
      </c>
      <c r="B99" s="166" t="s">
        <v>214</v>
      </c>
      <c r="C99" s="49" t="s">
        <v>215</v>
      </c>
      <c r="D99" s="815">
        <f t="shared" si="6"/>
        <v>29616</v>
      </c>
      <c r="E99" s="815">
        <f t="shared" si="7"/>
        <v>0</v>
      </c>
      <c r="F99" s="815">
        <v>0</v>
      </c>
      <c r="G99" s="815">
        <v>0</v>
      </c>
      <c r="H99" s="815">
        <f t="shared" si="8"/>
        <v>29616</v>
      </c>
      <c r="I99" s="818">
        <v>2000</v>
      </c>
      <c r="J99" s="818">
        <v>1810</v>
      </c>
      <c r="K99" s="818">
        <v>25806</v>
      </c>
      <c r="L99" s="818">
        <f t="shared" si="9"/>
        <v>0</v>
      </c>
      <c r="M99" s="818">
        <v>0</v>
      </c>
      <c r="N99" s="818">
        <v>0</v>
      </c>
      <c r="O99" s="828"/>
    </row>
    <row r="100" spans="1:15" x14ac:dyDescent="0.2">
      <c r="A100" s="160">
        <v>80</v>
      </c>
      <c r="B100" s="51" t="s">
        <v>216</v>
      </c>
      <c r="C100" s="49" t="s">
        <v>217</v>
      </c>
      <c r="D100" s="815">
        <f t="shared" si="6"/>
        <v>8356</v>
      </c>
      <c r="E100" s="815">
        <f t="shared" si="7"/>
        <v>0</v>
      </c>
      <c r="F100" s="815">
        <v>0</v>
      </c>
      <c r="G100" s="815">
        <v>0</v>
      </c>
      <c r="H100" s="815">
        <f t="shared" si="8"/>
        <v>8356</v>
      </c>
      <c r="I100" s="818">
        <v>1333</v>
      </c>
      <c r="J100" s="818">
        <v>1346</v>
      </c>
      <c r="K100" s="818">
        <v>5677</v>
      </c>
      <c r="L100" s="818">
        <f t="shared" si="9"/>
        <v>0</v>
      </c>
      <c r="M100" s="818">
        <v>0</v>
      </c>
      <c r="N100" s="818">
        <v>0</v>
      </c>
      <c r="O100" s="828"/>
    </row>
    <row r="101" spans="1:15" x14ac:dyDescent="0.2">
      <c r="A101" s="160">
        <v>81</v>
      </c>
      <c r="B101" s="48" t="s">
        <v>218</v>
      </c>
      <c r="C101" s="49" t="s">
        <v>219</v>
      </c>
      <c r="D101" s="815">
        <f t="shared" si="6"/>
        <v>40042</v>
      </c>
      <c r="E101" s="815">
        <f t="shared" si="7"/>
        <v>0</v>
      </c>
      <c r="F101" s="815">
        <v>0</v>
      </c>
      <c r="G101" s="815">
        <v>0</v>
      </c>
      <c r="H101" s="815">
        <f t="shared" si="8"/>
        <v>40042</v>
      </c>
      <c r="I101" s="818">
        <v>721</v>
      </c>
      <c r="J101" s="818">
        <v>2536</v>
      </c>
      <c r="K101" s="818">
        <v>36785</v>
      </c>
      <c r="L101" s="818">
        <f t="shared" si="9"/>
        <v>0</v>
      </c>
      <c r="M101" s="818">
        <v>0</v>
      </c>
      <c r="N101" s="818">
        <v>0</v>
      </c>
      <c r="O101" s="828"/>
    </row>
    <row r="102" spans="1:15" x14ac:dyDescent="0.2">
      <c r="A102" s="160">
        <v>82</v>
      </c>
      <c r="B102" s="48" t="s">
        <v>220</v>
      </c>
      <c r="C102" s="49" t="s">
        <v>221</v>
      </c>
      <c r="D102" s="815">
        <f t="shared" si="6"/>
        <v>23305</v>
      </c>
      <c r="E102" s="815">
        <f t="shared" si="7"/>
        <v>0</v>
      </c>
      <c r="F102" s="815">
        <v>0</v>
      </c>
      <c r="G102" s="815">
        <v>0</v>
      </c>
      <c r="H102" s="815">
        <f t="shared" si="8"/>
        <v>23305</v>
      </c>
      <c r="I102" s="818">
        <v>2540</v>
      </c>
      <c r="J102" s="818">
        <v>716</v>
      </c>
      <c r="K102" s="818">
        <v>20049</v>
      </c>
      <c r="L102" s="818">
        <f t="shared" si="9"/>
        <v>0</v>
      </c>
      <c r="M102" s="818">
        <v>0</v>
      </c>
      <c r="N102" s="818">
        <v>0</v>
      </c>
      <c r="O102" s="828"/>
    </row>
    <row r="103" spans="1:15" x14ac:dyDescent="0.2">
      <c r="A103" s="160">
        <v>83</v>
      </c>
      <c r="B103" s="166" t="s">
        <v>222</v>
      </c>
      <c r="C103" s="49" t="s">
        <v>223</v>
      </c>
      <c r="D103" s="815">
        <f t="shared" si="6"/>
        <v>5555</v>
      </c>
      <c r="E103" s="815">
        <f t="shared" si="7"/>
        <v>0</v>
      </c>
      <c r="F103" s="815">
        <v>0</v>
      </c>
      <c r="G103" s="815">
        <v>0</v>
      </c>
      <c r="H103" s="815">
        <f t="shared" si="8"/>
        <v>5555</v>
      </c>
      <c r="I103" s="818">
        <v>800</v>
      </c>
      <c r="J103" s="818">
        <v>124</v>
      </c>
      <c r="K103" s="818">
        <v>4631</v>
      </c>
      <c r="L103" s="818">
        <f t="shared" si="9"/>
        <v>0</v>
      </c>
      <c r="M103" s="818">
        <v>0</v>
      </c>
      <c r="N103" s="818">
        <v>0</v>
      </c>
      <c r="O103" s="828"/>
    </row>
    <row r="104" spans="1:15" x14ac:dyDescent="0.2">
      <c r="A104" s="160">
        <v>84</v>
      </c>
      <c r="B104" s="48" t="s">
        <v>224</v>
      </c>
      <c r="C104" s="49" t="s">
        <v>225</v>
      </c>
      <c r="D104" s="815">
        <f t="shared" si="6"/>
        <v>10593</v>
      </c>
      <c r="E104" s="815">
        <f t="shared" si="7"/>
        <v>0</v>
      </c>
      <c r="F104" s="815">
        <v>0</v>
      </c>
      <c r="G104" s="815">
        <v>0</v>
      </c>
      <c r="H104" s="815">
        <f t="shared" si="8"/>
        <v>10593</v>
      </c>
      <c r="I104" s="818">
        <v>840</v>
      </c>
      <c r="J104" s="818">
        <v>1030</v>
      </c>
      <c r="K104" s="818">
        <v>8723</v>
      </c>
      <c r="L104" s="818">
        <f t="shared" si="9"/>
        <v>0</v>
      </c>
      <c r="M104" s="818">
        <v>0</v>
      </c>
      <c r="N104" s="818">
        <v>0</v>
      </c>
      <c r="O104" s="828"/>
    </row>
    <row r="105" spans="1:15" x14ac:dyDescent="0.2">
      <c r="A105" s="160">
        <v>85</v>
      </c>
      <c r="B105" s="48" t="s">
        <v>226</v>
      </c>
      <c r="C105" s="49" t="s">
        <v>227</v>
      </c>
      <c r="D105" s="815">
        <f t="shared" si="6"/>
        <v>8829</v>
      </c>
      <c r="E105" s="815">
        <f t="shared" si="7"/>
        <v>0</v>
      </c>
      <c r="F105" s="815">
        <v>0</v>
      </c>
      <c r="G105" s="815">
        <v>0</v>
      </c>
      <c r="H105" s="815">
        <f t="shared" si="8"/>
        <v>8829</v>
      </c>
      <c r="I105" s="818">
        <v>720</v>
      </c>
      <c r="J105" s="818">
        <v>686</v>
      </c>
      <c r="K105" s="818">
        <v>7423</v>
      </c>
      <c r="L105" s="818">
        <f t="shared" si="9"/>
        <v>0</v>
      </c>
      <c r="M105" s="818">
        <v>0</v>
      </c>
      <c r="N105" s="818">
        <v>0</v>
      </c>
      <c r="O105" s="828"/>
    </row>
    <row r="106" spans="1:15" x14ac:dyDescent="0.2">
      <c r="A106" s="160">
        <v>86</v>
      </c>
      <c r="B106" s="51" t="s">
        <v>32</v>
      </c>
      <c r="C106" s="49" t="s">
        <v>33</v>
      </c>
      <c r="D106" s="815">
        <f t="shared" si="6"/>
        <v>20917</v>
      </c>
      <c r="E106" s="815">
        <f t="shared" si="7"/>
        <v>0</v>
      </c>
      <c r="F106" s="815">
        <v>0</v>
      </c>
      <c r="G106" s="815">
        <v>0</v>
      </c>
      <c r="H106" s="815">
        <f t="shared" si="8"/>
        <v>19509</v>
      </c>
      <c r="I106" s="818">
        <v>2345</v>
      </c>
      <c r="J106" s="818">
        <v>187</v>
      </c>
      <c r="K106" s="818">
        <v>16977</v>
      </c>
      <c r="L106" s="818">
        <f t="shared" si="9"/>
        <v>1408</v>
      </c>
      <c r="M106" s="818">
        <v>1126</v>
      </c>
      <c r="N106" s="818">
        <v>282</v>
      </c>
      <c r="O106" s="828"/>
    </row>
    <row r="107" spans="1:15" x14ac:dyDescent="0.2">
      <c r="A107" s="160">
        <v>87</v>
      </c>
      <c r="B107" s="166" t="s">
        <v>228</v>
      </c>
      <c r="C107" s="49" t="s">
        <v>229</v>
      </c>
      <c r="D107" s="815">
        <f t="shared" si="6"/>
        <v>11082</v>
      </c>
      <c r="E107" s="815">
        <f t="shared" si="7"/>
        <v>0</v>
      </c>
      <c r="F107" s="815">
        <v>0</v>
      </c>
      <c r="G107" s="815">
        <v>0</v>
      </c>
      <c r="H107" s="815">
        <f t="shared" si="8"/>
        <v>11082</v>
      </c>
      <c r="I107" s="818">
        <v>1110</v>
      </c>
      <c r="J107" s="818">
        <v>296</v>
      </c>
      <c r="K107" s="818">
        <v>9676</v>
      </c>
      <c r="L107" s="818">
        <f t="shared" si="9"/>
        <v>0</v>
      </c>
      <c r="M107" s="818">
        <v>0</v>
      </c>
      <c r="N107" s="818">
        <v>0</v>
      </c>
      <c r="O107" s="828"/>
    </row>
    <row r="108" spans="1:15" x14ac:dyDescent="0.2">
      <c r="A108" s="160">
        <v>88</v>
      </c>
      <c r="B108" s="48" t="s">
        <v>230</v>
      </c>
      <c r="C108" s="49" t="s">
        <v>231</v>
      </c>
      <c r="D108" s="815">
        <f t="shared" si="6"/>
        <v>24640</v>
      </c>
      <c r="E108" s="815">
        <f t="shared" si="7"/>
        <v>0</v>
      </c>
      <c r="F108" s="815">
        <v>0</v>
      </c>
      <c r="G108" s="815">
        <v>0</v>
      </c>
      <c r="H108" s="815">
        <f t="shared" si="8"/>
        <v>24640</v>
      </c>
      <c r="I108" s="818">
        <v>620</v>
      </c>
      <c r="J108" s="818">
        <v>1539</v>
      </c>
      <c r="K108" s="818">
        <v>22481</v>
      </c>
      <c r="L108" s="818">
        <f t="shared" si="9"/>
        <v>0</v>
      </c>
      <c r="M108" s="818">
        <v>0</v>
      </c>
      <c r="N108" s="818">
        <v>0</v>
      </c>
      <c r="O108" s="828"/>
    </row>
    <row r="109" spans="1:15" x14ac:dyDescent="0.2">
      <c r="A109" s="160">
        <v>89</v>
      </c>
      <c r="B109" s="48" t="s">
        <v>232</v>
      </c>
      <c r="C109" s="49" t="s">
        <v>233</v>
      </c>
      <c r="D109" s="815">
        <f t="shared" si="6"/>
        <v>0</v>
      </c>
      <c r="E109" s="815">
        <f t="shared" si="7"/>
        <v>0</v>
      </c>
      <c r="F109" s="815">
        <v>0</v>
      </c>
      <c r="G109" s="815">
        <v>0</v>
      </c>
      <c r="H109" s="815">
        <f t="shared" si="8"/>
        <v>0</v>
      </c>
      <c r="I109" s="818">
        <v>0</v>
      </c>
      <c r="J109" s="818">
        <v>0</v>
      </c>
      <c r="K109" s="818">
        <v>0</v>
      </c>
      <c r="L109" s="818">
        <f t="shared" si="9"/>
        <v>0</v>
      </c>
      <c r="M109" s="818">
        <v>0</v>
      </c>
      <c r="N109" s="818">
        <v>0</v>
      </c>
      <c r="O109" s="828"/>
    </row>
    <row r="110" spans="1:15" x14ac:dyDescent="0.2">
      <c r="A110" s="160">
        <v>90</v>
      </c>
      <c r="B110" s="48" t="s">
        <v>234</v>
      </c>
      <c r="C110" s="49" t="s">
        <v>235</v>
      </c>
      <c r="D110" s="815">
        <f t="shared" si="6"/>
        <v>0</v>
      </c>
      <c r="E110" s="815">
        <f t="shared" si="7"/>
        <v>0</v>
      </c>
      <c r="F110" s="815">
        <v>0</v>
      </c>
      <c r="G110" s="815">
        <v>0</v>
      </c>
      <c r="H110" s="815">
        <v>0</v>
      </c>
      <c r="I110" s="818">
        <v>0</v>
      </c>
      <c r="J110" s="818">
        <v>0</v>
      </c>
      <c r="K110" s="818">
        <v>0</v>
      </c>
      <c r="L110" s="818">
        <f t="shared" si="9"/>
        <v>0</v>
      </c>
      <c r="M110" s="818">
        <v>0</v>
      </c>
      <c r="N110" s="818">
        <v>0</v>
      </c>
      <c r="O110" s="828"/>
    </row>
    <row r="111" spans="1:15" x14ac:dyDescent="0.2">
      <c r="A111" s="160">
        <v>91</v>
      </c>
      <c r="B111" s="166" t="s">
        <v>236</v>
      </c>
      <c r="C111" s="49" t="s">
        <v>237</v>
      </c>
      <c r="D111" s="815">
        <f t="shared" si="6"/>
        <v>0</v>
      </c>
      <c r="E111" s="815">
        <f t="shared" si="7"/>
        <v>0</v>
      </c>
      <c r="F111" s="815">
        <v>0</v>
      </c>
      <c r="G111" s="815">
        <v>0</v>
      </c>
      <c r="H111" s="815">
        <v>0</v>
      </c>
      <c r="I111" s="818">
        <v>0</v>
      </c>
      <c r="J111" s="818">
        <v>0</v>
      </c>
      <c r="K111" s="818">
        <v>0</v>
      </c>
      <c r="L111" s="818">
        <f t="shared" si="9"/>
        <v>0</v>
      </c>
      <c r="M111" s="818">
        <v>0</v>
      </c>
      <c r="N111" s="818">
        <v>0</v>
      </c>
      <c r="O111" s="828"/>
    </row>
    <row r="112" spans="1:15" x14ac:dyDescent="0.2">
      <c r="A112" s="160">
        <v>92</v>
      </c>
      <c r="B112" s="166" t="s">
        <v>238</v>
      </c>
      <c r="C112" s="49" t="s">
        <v>239</v>
      </c>
      <c r="D112" s="815">
        <f t="shared" si="6"/>
        <v>0</v>
      </c>
      <c r="E112" s="815">
        <f t="shared" si="7"/>
        <v>0</v>
      </c>
      <c r="F112" s="815">
        <v>0</v>
      </c>
      <c r="G112" s="815">
        <v>0</v>
      </c>
      <c r="H112" s="815">
        <v>0</v>
      </c>
      <c r="I112" s="818">
        <v>0</v>
      </c>
      <c r="J112" s="818">
        <v>0</v>
      </c>
      <c r="K112" s="818">
        <v>0</v>
      </c>
      <c r="L112" s="818">
        <f t="shared" si="9"/>
        <v>0</v>
      </c>
      <c r="M112" s="818">
        <v>0</v>
      </c>
      <c r="N112" s="818">
        <v>0</v>
      </c>
      <c r="O112" s="828"/>
    </row>
    <row r="113" spans="1:15" x14ac:dyDescent="0.2">
      <c r="A113" s="160">
        <v>93</v>
      </c>
      <c r="B113" s="166" t="s">
        <v>240</v>
      </c>
      <c r="C113" s="49" t="s">
        <v>241</v>
      </c>
      <c r="D113" s="815">
        <f t="shared" si="6"/>
        <v>0</v>
      </c>
      <c r="E113" s="815">
        <f t="shared" si="7"/>
        <v>0</v>
      </c>
      <c r="F113" s="815">
        <v>0</v>
      </c>
      <c r="G113" s="815">
        <v>0</v>
      </c>
      <c r="H113" s="815">
        <v>0</v>
      </c>
      <c r="I113" s="818">
        <v>0</v>
      </c>
      <c r="J113" s="818">
        <v>0</v>
      </c>
      <c r="K113" s="818">
        <v>0</v>
      </c>
      <c r="L113" s="818">
        <f t="shared" si="9"/>
        <v>0</v>
      </c>
      <c r="M113" s="818">
        <v>0</v>
      </c>
      <c r="N113" s="818">
        <v>0</v>
      </c>
      <c r="O113" s="828"/>
    </row>
    <row r="114" spans="1:15" x14ac:dyDescent="0.2">
      <c r="A114" s="160">
        <v>94</v>
      </c>
      <c r="B114" s="166" t="s">
        <v>242</v>
      </c>
      <c r="C114" s="49" t="s">
        <v>243</v>
      </c>
      <c r="D114" s="815">
        <f t="shared" si="6"/>
        <v>0</v>
      </c>
      <c r="E114" s="815">
        <f t="shared" si="7"/>
        <v>0</v>
      </c>
      <c r="F114" s="815">
        <v>0</v>
      </c>
      <c r="G114" s="815">
        <v>0</v>
      </c>
      <c r="H114" s="815">
        <v>0</v>
      </c>
      <c r="I114" s="818">
        <v>0</v>
      </c>
      <c r="J114" s="818">
        <v>0</v>
      </c>
      <c r="K114" s="818">
        <v>0</v>
      </c>
      <c r="L114" s="818">
        <f t="shared" si="9"/>
        <v>0</v>
      </c>
      <c r="M114" s="818">
        <v>0</v>
      </c>
      <c r="N114" s="818">
        <v>0</v>
      </c>
      <c r="O114" s="828"/>
    </row>
    <row r="115" spans="1:15" x14ac:dyDescent="0.2">
      <c r="A115" s="160">
        <v>95</v>
      </c>
      <c r="B115" s="166" t="s">
        <v>244</v>
      </c>
      <c r="C115" s="49" t="s">
        <v>245</v>
      </c>
      <c r="D115" s="815">
        <f t="shared" si="6"/>
        <v>0</v>
      </c>
      <c r="E115" s="815">
        <f t="shared" si="7"/>
        <v>0</v>
      </c>
      <c r="F115" s="815">
        <v>0</v>
      </c>
      <c r="G115" s="815">
        <v>0</v>
      </c>
      <c r="H115" s="815">
        <f t="shared" si="8"/>
        <v>0</v>
      </c>
      <c r="I115" s="818">
        <v>0</v>
      </c>
      <c r="J115" s="818">
        <v>0</v>
      </c>
      <c r="K115" s="818">
        <v>0</v>
      </c>
      <c r="L115" s="818">
        <f t="shared" si="9"/>
        <v>0</v>
      </c>
      <c r="M115" s="818">
        <v>0</v>
      </c>
      <c r="N115" s="818">
        <v>0</v>
      </c>
      <c r="O115" s="828"/>
    </row>
    <row r="116" spans="1:15" x14ac:dyDescent="0.2">
      <c r="A116" s="160">
        <v>96</v>
      </c>
      <c r="B116" s="162" t="s">
        <v>246</v>
      </c>
      <c r="C116" s="618" t="s">
        <v>247</v>
      </c>
      <c r="D116" s="815">
        <f t="shared" si="6"/>
        <v>0</v>
      </c>
      <c r="E116" s="815">
        <f t="shared" si="7"/>
        <v>0</v>
      </c>
      <c r="F116" s="815">
        <v>0</v>
      </c>
      <c r="G116" s="815">
        <v>0</v>
      </c>
      <c r="H116" s="815">
        <v>0</v>
      </c>
      <c r="I116" s="818">
        <v>0</v>
      </c>
      <c r="J116" s="818">
        <v>0</v>
      </c>
      <c r="K116" s="818">
        <v>0</v>
      </c>
      <c r="L116" s="818">
        <f t="shared" si="9"/>
        <v>0</v>
      </c>
      <c r="M116" s="818">
        <v>0</v>
      </c>
      <c r="N116" s="818">
        <v>0</v>
      </c>
      <c r="O116" s="828"/>
    </row>
    <row r="117" spans="1:15" x14ac:dyDescent="0.2">
      <c r="A117" s="160">
        <v>97</v>
      </c>
      <c r="B117" s="51" t="s">
        <v>248</v>
      </c>
      <c r="C117" s="49" t="s">
        <v>249</v>
      </c>
      <c r="D117" s="815">
        <f t="shared" si="6"/>
        <v>0</v>
      </c>
      <c r="E117" s="815">
        <f t="shared" si="7"/>
        <v>0</v>
      </c>
      <c r="F117" s="815">
        <v>0</v>
      </c>
      <c r="G117" s="815">
        <v>0</v>
      </c>
      <c r="H117" s="815">
        <v>0</v>
      </c>
      <c r="I117" s="818">
        <v>0</v>
      </c>
      <c r="J117" s="818">
        <v>0</v>
      </c>
      <c r="K117" s="818">
        <v>0</v>
      </c>
      <c r="L117" s="818">
        <f t="shared" si="9"/>
        <v>0</v>
      </c>
      <c r="M117" s="818">
        <v>0</v>
      </c>
      <c r="N117" s="818">
        <v>0</v>
      </c>
      <c r="O117" s="828"/>
    </row>
    <row r="118" spans="1:15" x14ac:dyDescent="0.2">
      <c r="A118" s="160">
        <v>98</v>
      </c>
      <c r="B118" s="166" t="s">
        <v>250</v>
      </c>
      <c r="C118" s="49" t="s">
        <v>251</v>
      </c>
      <c r="D118" s="815">
        <f t="shared" si="6"/>
        <v>0</v>
      </c>
      <c r="E118" s="815">
        <f t="shared" si="7"/>
        <v>0</v>
      </c>
      <c r="F118" s="815">
        <v>0</v>
      </c>
      <c r="G118" s="815">
        <v>0</v>
      </c>
      <c r="H118" s="815">
        <v>0</v>
      </c>
      <c r="I118" s="818">
        <v>0</v>
      </c>
      <c r="J118" s="818">
        <v>0</v>
      </c>
      <c r="K118" s="818">
        <v>0</v>
      </c>
      <c r="L118" s="818">
        <f t="shared" si="9"/>
        <v>0</v>
      </c>
      <c r="M118" s="818">
        <v>0</v>
      </c>
      <c r="N118" s="818">
        <v>0</v>
      </c>
      <c r="O118" s="828"/>
    </row>
    <row r="119" spans="1:15" x14ac:dyDescent="0.2">
      <c r="A119" s="160">
        <v>99</v>
      </c>
      <c r="B119" s="48" t="s">
        <v>252</v>
      </c>
      <c r="C119" s="59" t="s">
        <v>253</v>
      </c>
      <c r="D119" s="815">
        <f t="shared" si="6"/>
        <v>0</v>
      </c>
      <c r="E119" s="815">
        <f t="shared" si="7"/>
        <v>0</v>
      </c>
      <c r="F119" s="815">
        <v>0</v>
      </c>
      <c r="G119" s="815">
        <v>0</v>
      </c>
      <c r="H119" s="815">
        <v>0</v>
      </c>
      <c r="I119" s="818">
        <v>0</v>
      </c>
      <c r="J119" s="818">
        <v>0</v>
      </c>
      <c r="K119" s="818">
        <v>0</v>
      </c>
      <c r="L119" s="818">
        <f t="shared" si="9"/>
        <v>0</v>
      </c>
      <c r="M119" s="818">
        <v>0</v>
      </c>
      <c r="N119" s="818">
        <v>0</v>
      </c>
      <c r="O119" s="828"/>
    </row>
    <row r="120" spans="1:15" x14ac:dyDescent="0.2">
      <c r="A120" s="160">
        <v>100</v>
      </c>
      <c r="B120" s="166" t="s">
        <v>254</v>
      </c>
      <c r="C120" s="49" t="s">
        <v>255</v>
      </c>
      <c r="D120" s="815">
        <f t="shared" si="6"/>
        <v>0</v>
      </c>
      <c r="E120" s="815">
        <f t="shared" si="7"/>
        <v>0</v>
      </c>
      <c r="F120" s="815">
        <v>0</v>
      </c>
      <c r="G120" s="815">
        <v>0</v>
      </c>
      <c r="H120" s="815">
        <v>0</v>
      </c>
      <c r="I120" s="818">
        <v>0</v>
      </c>
      <c r="J120" s="818">
        <v>0</v>
      </c>
      <c r="K120" s="818">
        <v>0</v>
      </c>
      <c r="L120" s="818">
        <f t="shared" si="9"/>
        <v>0</v>
      </c>
      <c r="M120" s="818">
        <v>0</v>
      </c>
      <c r="N120" s="818">
        <v>0</v>
      </c>
      <c r="O120" s="828"/>
    </row>
    <row r="121" spans="1:15" x14ac:dyDescent="0.2">
      <c r="A121" s="160">
        <v>101</v>
      </c>
      <c r="B121" s="51" t="s">
        <v>256</v>
      </c>
      <c r="C121" s="49" t="s">
        <v>257</v>
      </c>
      <c r="D121" s="815">
        <f t="shared" si="6"/>
        <v>0</v>
      </c>
      <c r="E121" s="815">
        <f t="shared" si="7"/>
        <v>0</v>
      </c>
      <c r="F121" s="815">
        <v>0</v>
      </c>
      <c r="G121" s="815">
        <v>0</v>
      </c>
      <c r="H121" s="815">
        <v>0</v>
      </c>
      <c r="I121" s="818">
        <v>0</v>
      </c>
      <c r="J121" s="818">
        <v>0</v>
      </c>
      <c r="K121" s="818">
        <v>0</v>
      </c>
      <c r="L121" s="818">
        <f t="shared" si="9"/>
        <v>0</v>
      </c>
      <c r="M121" s="818">
        <v>0</v>
      </c>
      <c r="N121" s="818">
        <v>0</v>
      </c>
      <c r="O121" s="828"/>
    </row>
    <row r="122" spans="1:15" x14ac:dyDescent="0.2">
      <c r="A122" s="160">
        <v>102</v>
      </c>
      <c r="B122" s="48" t="s">
        <v>258</v>
      </c>
      <c r="C122" s="49" t="s">
        <v>259</v>
      </c>
      <c r="D122" s="815">
        <f t="shared" si="6"/>
        <v>0</v>
      </c>
      <c r="E122" s="815">
        <f t="shared" si="7"/>
        <v>0</v>
      </c>
      <c r="F122" s="815">
        <v>0</v>
      </c>
      <c r="G122" s="815">
        <v>0</v>
      </c>
      <c r="H122" s="815">
        <v>0</v>
      </c>
      <c r="I122" s="818">
        <v>0</v>
      </c>
      <c r="J122" s="818">
        <v>0</v>
      </c>
      <c r="K122" s="818">
        <v>0</v>
      </c>
      <c r="L122" s="818">
        <f t="shared" si="9"/>
        <v>0</v>
      </c>
      <c r="M122" s="818">
        <v>0</v>
      </c>
      <c r="N122" s="818">
        <v>0</v>
      </c>
      <c r="O122" s="828"/>
    </row>
    <row r="123" spans="1:15" x14ac:dyDescent="0.2">
      <c r="A123" s="160">
        <v>103</v>
      </c>
      <c r="B123" s="164" t="s">
        <v>542</v>
      </c>
      <c r="C123" s="163" t="s">
        <v>543</v>
      </c>
      <c r="D123" s="815">
        <f t="shared" si="6"/>
        <v>0</v>
      </c>
      <c r="E123" s="815">
        <f t="shared" si="7"/>
        <v>0</v>
      </c>
      <c r="F123" s="815">
        <v>0</v>
      </c>
      <c r="G123" s="815">
        <v>0</v>
      </c>
      <c r="H123" s="815">
        <v>0</v>
      </c>
      <c r="I123" s="818">
        <v>0</v>
      </c>
      <c r="J123" s="818">
        <v>0</v>
      </c>
      <c r="K123" s="818">
        <v>0</v>
      </c>
      <c r="L123" s="818">
        <f t="shared" si="9"/>
        <v>0</v>
      </c>
      <c r="M123" s="818">
        <v>0</v>
      </c>
      <c r="N123" s="818">
        <v>0</v>
      </c>
      <c r="O123" s="828"/>
    </row>
    <row r="124" spans="1:15" x14ac:dyDescent="0.2">
      <c r="A124" s="160">
        <v>104</v>
      </c>
      <c r="B124" s="51" t="s">
        <v>260</v>
      </c>
      <c r="C124" s="49" t="s">
        <v>261</v>
      </c>
      <c r="D124" s="815">
        <f t="shared" si="6"/>
        <v>0</v>
      </c>
      <c r="E124" s="815">
        <f t="shared" si="7"/>
        <v>0</v>
      </c>
      <c r="F124" s="815">
        <v>0</v>
      </c>
      <c r="G124" s="815">
        <v>0</v>
      </c>
      <c r="H124" s="815">
        <v>0</v>
      </c>
      <c r="I124" s="818">
        <v>0</v>
      </c>
      <c r="J124" s="818">
        <v>0</v>
      </c>
      <c r="K124" s="818">
        <v>0</v>
      </c>
      <c r="L124" s="818">
        <f t="shared" si="9"/>
        <v>0</v>
      </c>
      <c r="M124" s="818">
        <v>0</v>
      </c>
      <c r="N124" s="818">
        <v>0</v>
      </c>
      <c r="O124" s="828"/>
    </row>
    <row r="125" spans="1:15" x14ac:dyDescent="0.2">
      <c r="A125" s="160">
        <v>105</v>
      </c>
      <c r="B125" s="166" t="s">
        <v>262</v>
      </c>
      <c r="C125" s="49" t="s">
        <v>263</v>
      </c>
      <c r="D125" s="815">
        <f t="shared" si="6"/>
        <v>0</v>
      </c>
      <c r="E125" s="815">
        <f t="shared" si="7"/>
        <v>0</v>
      </c>
      <c r="F125" s="815">
        <v>0</v>
      </c>
      <c r="G125" s="815">
        <v>0</v>
      </c>
      <c r="H125" s="815">
        <f t="shared" si="8"/>
        <v>0</v>
      </c>
      <c r="I125" s="818">
        <v>0</v>
      </c>
      <c r="J125" s="818">
        <v>0</v>
      </c>
      <c r="K125" s="818">
        <v>0</v>
      </c>
      <c r="L125" s="818">
        <f t="shared" si="9"/>
        <v>0</v>
      </c>
      <c r="M125" s="818">
        <v>0</v>
      </c>
      <c r="N125" s="818">
        <v>0</v>
      </c>
      <c r="O125" s="828"/>
    </row>
    <row r="126" spans="1:15" x14ac:dyDescent="0.2">
      <c r="A126" s="160">
        <v>106</v>
      </c>
      <c r="B126" s="166" t="s">
        <v>264</v>
      </c>
      <c r="C126" s="53" t="s">
        <v>265</v>
      </c>
      <c r="D126" s="815">
        <f t="shared" si="6"/>
        <v>0</v>
      </c>
      <c r="E126" s="815">
        <f t="shared" si="7"/>
        <v>0</v>
      </c>
      <c r="F126" s="815">
        <v>0</v>
      </c>
      <c r="G126" s="815">
        <v>0</v>
      </c>
      <c r="H126" s="815">
        <f t="shared" si="8"/>
        <v>0</v>
      </c>
      <c r="I126" s="818">
        <v>0</v>
      </c>
      <c r="J126" s="818">
        <v>0</v>
      </c>
      <c r="K126" s="818">
        <v>0</v>
      </c>
      <c r="L126" s="818">
        <f t="shared" si="9"/>
        <v>0</v>
      </c>
      <c r="M126" s="818">
        <v>0</v>
      </c>
      <c r="N126" s="818">
        <v>0</v>
      </c>
      <c r="O126" s="828"/>
    </row>
    <row r="127" spans="1:15" x14ac:dyDescent="0.2">
      <c r="A127" s="160">
        <v>107</v>
      </c>
      <c r="B127" s="166" t="s">
        <v>266</v>
      </c>
      <c r="C127" s="49" t="s">
        <v>267</v>
      </c>
      <c r="D127" s="815">
        <f t="shared" si="6"/>
        <v>0</v>
      </c>
      <c r="E127" s="815">
        <f t="shared" si="7"/>
        <v>0</v>
      </c>
      <c r="F127" s="815">
        <v>0</v>
      </c>
      <c r="G127" s="815">
        <v>0</v>
      </c>
      <c r="H127" s="815">
        <f t="shared" si="8"/>
        <v>0</v>
      </c>
      <c r="I127" s="818">
        <v>0</v>
      </c>
      <c r="J127" s="818">
        <v>0</v>
      </c>
      <c r="K127" s="818">
        <v>0</v>
      </c>
      <c r="L127" s="818">
        <f t="shared" si="9"/>
        <v>0</v>
      </c>
      <c r="M127" s="818">
        <v>0</v>
      </c>
      <c r="N127" s="818">
        <v>0</v>
      </c>
      <c r="O127" s="828"/>
    </row>
    <row r="128" spans="1:15" x14ac:dyDescent="0.2">
      <c r="A128" s="160">
        <v>108</v>
      </c>
      <c r="B128" s="166" t="s">
        <v>268</v>
      </c>
      <c r="C128" s="49" t="s">
        <v>269</v>
      </c>
      <c r="D128" s="815">
        <f t="shared" si="6"/>
        <v>0</v>
      </c>
      <c r="E128" s="815">
        <f t="shared" si="7"/>
        <v>0</v>
      </c>
      <c r="F128" s="815">
        <v>0</v>
      </c>
      <c r="G128" s="815">
        <v>0</v>
      </c>
      <c r="H128" s="815">
        <f t="shared" si="8"/>
        <v>0</v>
      </c>
      <c r="I128" s="818">
        <v>0</v>
      </c>
      <c r="J128" s="818">
        <v>0</v>
      </c>
      <c r="K128" s="818">
        <v>0</v>
      </c>
      <c r="L128" s="818">
        <f t="shared" si="9"/>
        <v>0</v>
      </c>
      <c r="M128" s="818">
        <v>0</v>
      </c>
      <c r="N128" s="818">
        <v>0</v>
      </c>
      <c r="O128" s="828"/>
    </row>
    <row r="129" spans="1:15" x14ac:dyDescent="0.2">
      <c r="A129" s="160">
        <v>109</v>
      </c>
      <c r="B129" s="166" t="s">
        <v>270</v>
      </c>
      <c r="C129" s="49" t="s">
        <v>271</v>
      </c>
      <c r="D129" s="815">
        <f t="shared" si="6"/>
        <v>0</v>
      </c>
      <c r="E129" s="815">
        <f t="shared" si="7"/>
        <v>0</v>
      </c>
      <c r="F129" s="815">
        <v>0</v>
      </c>
      <c r="G129" s="815">
        <v>0</v>
      </c>
      <c r="H129" s="815">
        <f t="shared" si="8"/>
        <v>0</v>
      </c>
      <c r="I129" s="818">
        <v>0</v>
      </c>
      <c r="J129" s="818">
        <v>0</v>
      </c>
      <c r="K129" s="818">
        <v>0</v>
      </c>
      <c r="L129" s="818">
        <f t="shared" si="9"/>
        <v>0</v>
      </c>
      <c r="M129" s="818">
        <v>0</v>
      </c>
      <c r="N129" s="818">
        <v>0</v>
      </c>
      <c r="O129" s="828"/>
    </row>
    <row r="130" spans="1:15" x14ac:dyDescent="0.2">
      <c r="A130" s="160">
        <v>110</v>
      </c>
      <c r="B130" s="48" t="s">
        <v>272</v>
      </c>
      <c r="C130" s="49" t="s">
        <v>273</v>
      </c>
      <c r="D130" s="815">
        <f t="shared" si="6"/>
        <v>0</v>
      </c>
      <c r="E130" s="815">
        <f t="shared" si="7"/>
        <v>0</v>
      </c>
      <c r="F130" s="815">
        <v>0</v>
      </c>
      <c r="G130" s="815">
        <v>0</v>
      </c>
      <c r="H130" s="815">
        <f t="shared" si="8"/>
        <v>0</v>
      </c>
      <c r="I130" s="818">
        <v>0</v>
      </c>
      <c r="J130" s="818">
        <v>0</v>
      </c>
      <c r="K130" s="818">
        <v>0</v>
      </c>
      <c r="L130" s="818">
        <f t="shared" si="9"/>
        <v>0</v>
      </c>
      <c r="M130" s="818">
        <v>0</v>
      </c>
      <c r="N130" s="818">
        <v>0</v>
      </c>
      <c r="O130" s="828"/>
    </row>
    <row r="131" spans="1:15" x14ac:dyDescent="0.2">
      <c r="A131" s="160">
        <v>111</v>
      </c>
      <c r="B131" s="48" t="s">
        <v>274</v>
      </c>
      <c r="C131" s="49" t="s">
        <v>275</v>
      </c>
      <c r="D131" s="815">
        <f t="shared" si="6"/>
        <v>11800</v>
      </c>
      <c r="E131" s="815">
        <f t="shared" si="7"/>
        <v>11800</v>
      </c>
      <c r="F131" s="815">
        <v>0</v>
      </c>
      <c r="G131" s="815">
        <v>11800</v>
      </c>
      <c r="H131" s="815">
        <f t="shared" si="8"/>
        <v>0</v>
      </c>
      <c r="I131" s="818">
        <v>0</v>
      </c>
      <c r="J131" s="818">
        <v>0</v>
      </c>
      <c r="K131" s="818">
        <v>0</v>
      </c>
      <c r="L131" s="818">
        <f t="shared" si="9"/>
        <v>0</v>
      </c>
      <c r="M131" s="818">
        <v>0</v>
      </c>
      <c r="N131" s="818">
        <v>0</v>
      </c>
      <c r="O131" s="828"/>
    </row>
    <row r="132" spans="1:15" x14ac:dyDescent="0.2">
      <c r="A132" s="160">
        <v>112</v>
      </c>
      <c r="B132" s="48" t="s">
        <v>276</v>
      </c>
      <c r="C132" s="49" t="s">
        <v>277</v>
      </c>
      <c r="D132" s="815">
        <f t="shared" si="6"/>
        <v>23130</v>
      </c>
      <c r="E132" s="815">
        <f t="shared" si="7"/>
        <v>23130</v>
      </c>
      <c r="F132" s="815">
        <v>0</v>
      </c>
      <c r="G132" s="815">
        <v>23130</v>
      </c>
      <c r="H132" s="815">
        <f t="shared" si="8"/>
        <v>0</v>
      </c>
      <c r="I132" s="818">
        <v>0</v>
      </c>
      <c r="J132" s="818">
        <v>0</v>
      </c>
      <c r="K132" s="818">
        <v>0</v>
      </c>
      <c r="L132" s="818">
        <f t="shared" si="9"/>
        <v>0</v>
      </c>
      <c r="M132" s="818">
        <v>0</v>
      </c>
      <c r="N132" s="818">
        <v>0</v>
      </c>
      <c r="O132" s="828"/>
    </row>
    <row r="133" spans="1:15" x14ac:dyDescent="0.2">
      <c r="A133" s="160">
        <v>113</v>
      </c>
      <c r="B133" s="166" t="s">
        <v>278</v>
      </c>
      <c r="C133" s="49" t="s">
        <v>279</v>
      </c>
      <c r="D133" s="815">
        <f t="shared" si="6"/>
        <v>0</v>
      </c>
      <c r="E133" s="815">
        <f t="shared" si="7"/>
        <v>0</v>
      </c>
      <c r="F133" s="815">
        <v>0</v>
      </c>
      <c r="G133" s="815">
        <v>0</v>
      </c>
      <c r="H133" s="815">
        <f t="shared" si="8"/>
        <v>0</v>
      </c>
      <c r="I133" s="818">
        <v>0</v>
      </c>
      <c r="J133" s="818">
        <v>0</v>
      </c>
      <c r="K133" s="818">
        <v>0</v>
      </c>
      <c r="L133" s="818">
        <f t="shared" si="9"/>
        <v>0</v>
      </c>
      <c r="M133" s="818">
        <v>0</v>
      </c>
      <c r="N133" s="818">
        <v>0</v>
      </c>
      <c r="O133" s="828"/>
    </row>
    <row r="134" spans="1:15" x14ac:dyDescent="0.2">
      <c r="A134" s="160">
        <v>114</v>
      </c>
      <c r="B134" s="166" t="s">
        <v>280</v>
      </c>
      <c r="C134" s="49" t="s">
        <v>492</v>
      </c>
      <c r="D134" s="815">
        <f t="shared" si="6"/>
        <v>0</v>
      </c>
      <c r="E134" s="815">
        <f t="shared" si="7"/>
        <v>0</v>
      </c>
      <c r="F134" s="815">
        <v>0</v>
      </c>
      <c r="G134" s="815">
        <v>0</v>
      </c>
      <c r="H134" s="815">
        <f t="shared" si="8"/>
        <v>0</v>
      </c>
      <c r="I134" s="818">
        <v>0</v>
      </c>
      <c r="J134" s="818">
        <v>0</v>
      </c>
      <c r="K134" s="818">
        <v>0</v>
      </c>
      <c r="L134" s="818">
        <f t="shared" si="9"/>
        <v>0</v>
      </c>
      <c r="M134" s="818">
        <v>0</v>
      </c>
      <c r="N134" s="818">
        <v>0</v>
      </c>
      <c r="O134" s="828"/>
    </row>
    <row r="135" spans="1:15" x14ac:dyDescent="0.2">
      <c r="A135" s="160">
        <v>115</v>
      </c>
      <c r="B135" s="166" t="s">
        <v>282</v>
      </c>
      <c r="C135" s="49" t="s">
        <v>768</v>
      </c>
      <c r="D135" s="815">
        <f t="shared" si="6"/>
        <v>0</v>
      </c>
      <c r="E135" s="815">
        <f t="shared" si="7"/>
        <v>0</v>
      </c>
      <c r="F135" s="815">
        <v>0</v>
      </c>
      <c r="G135" s="815">
        <v>0</v>
      </c>
      <c r="H135" s="815">
        <f t="shared" si="8"/>
        <v>0</v>
      </c>
      <c r="I135" s="818">
        <v>0</v>
      </c>
      <c r="J135" s="818">
        <v>0</v>
      </c>
      <c r="K135" s="818">
        <v>0</v>
      </c>
      <c r="L135" s="818">
        <f t="shared" si="9"/>
        <v>0</v>
      </c>
      <c r="M135" s="818">
        <v>0</v>
      </c>
      <c r="N135" s="818">
        <v>0</v>
      </c>
      <c r="O135" s="828"/>
    </row>
    <row r="136" spans="1:15" x14ac:dyDescent="0.2">
      <c r="A136" s="160">
        <v>116</v>
      </c>
      <c r="B136" s="48" t="s">
        <v>283</v>
      </c>
      <c r="C136" s="49" t="s">
        <v>284</v>
      </c>
      <c r="D136" s="815">
        <f t="shared" si="6"/>
        <v>6889</v>
      </c>
      <c r="E136" s="815">
        <f t="shared" si="7"/>
        <v>0</v>
      </c>
      <c r="F136" s="815">
        <v>0</v>
      </c>
      <c r="G136" s="815">
        <v>0</v>
      </c>
      <c r="H136" s="815">
        <f t="shared" si="8"/>
        <v>6889</v>
      </c>
      <c r="I136" s="818">
        <v>1320</v>
      </c>
      <c r="J136" s="818">
        <v>0</v>
      </c>
      <c r="K136" s="818">
        <v>5569</v>
      </c>
      <c r="L136" s="818">
        <f t="shared" si="9"/>
        <v>0</v>
      </c>
      <c r="M136" s="818">
        <v>0</v>
      </c>
      <c r="N136" s="818">
        <v>0</v>
      </c>
      <c r="O136" s="828"/>
    </row>
    <row r="137" spans="1:15" x14ac:dyDescent="0.2">
      <c r="A137" s="160">
        <v>117</v>
      </c>
      <c r="B137" s="51" t="s">
        <v>285</v>
      </c>
      <c r="C137" s="49" t="s">
        <v>726</v>
      </c>
      <c r="D137" s="815">
        <f t="shared" si="6"/>
        <v>46209</v>
      </c>
      <c r="E137" s="815">
        <f t="shared" si="7"/>
        <v>0</v>
      </c>
      <c r="F137" s="815">
        <v>0</v>
      </c>
      <c r="G137" s="815">
        <v>0</v>
      </c>
      <c r="H137" s="815">
        <f t="shared" si="8"/>
        <v>46209</v>
      </c>
      <c r="I137" s="818">
        <v>2325</v>
      </c>
      <c r="J137" s="818">
        <v>755</v>
      </c>
      <c r="K137" s="818">
        <v>43129</v>
      </c>
      <c r="L137" s="818">
        <f t="shared" si="9"/>
        <v>0</v>
      </c>
      <c r="M137" s="818">
        <v>0</v>
      </c>
      <c r="N137" s="818">
        <v>0</v>
      </c>
      <c r="O137" s="828"/>
    </row>
    <row r="138" spans="1:15" x14ac:dyDescent="0.2">
      <c r="A138" s="160">
        <v>118</v>
      </c>
      <c r="B138" s="166" t="s">
        <v>286</v>
      </c>
      <c r="C138" s="49" t="s">
        <v>287</v>
      </c>
      <c r="D138" s="815">
        <f t="shared" si="6"/>
        <v>0</v>
      </c>
      <c r="E138" s="815">
        <f t="shared" si="7"/>
        <v>0</v>
      </c>
      <c r="F138" s="815">
        <v>0</v>
      </c>
      <c r="G138" s="815">
        <v>0</v>
      </c>
      <c r="H138" s="815">
        <f t="shared" si="8"/>
        <v>0</v>
      </c>
      <c r="I138" s="818">
        <v>0</v>
      </c>
      <c r="J138" s="818">
        <v>0</v>
      </c>
      <c r="K138" s="818">
        <v>0</v>
      </c>
      <c r="L138" s="818">
        <f t="shared" si="9"/>
        <v>0</v>
      </c>
      <c r="M138" s="818">
        <v>0</v>
      </c>
      <c r="N138" s="818">
        <v>0</v>
      </c>
      <c r="O138" s="828"/>
    </row>
    <row r="139" spans="1:15" x14ac:dyDescent="0.2">
      <c r="A139" s="160">
        <v>119</v>
      </c>
      <c r="B139" s="48" t="s">
        <v>288</v>
      </c>
      <c r="C139" s="49" t="s">
        <v>289</v>
      </c>
      <c r="D139" s="815">
        <f t="shared" si="6"/>
        <v>0</v>
      </c>
      <c r="E139" s="815">
        <f t="shared" si="7"/>
        <v>0</v>
      </c>
      <c r="F139" s="815">
        <v>0</v>
      </c>
      <c r="G139" s="815">
        <v>0</v>
      </c>
      <c r="H139" s="815">
        <f t="shared" si="8"/>
        <v>0</v>
      </c>
      <c r="I139" s="818">
        <v>0</v>
      </c>
      <c r="J139" s="818">
        <v>0</v>
      </c>
      <c r="K139" s="818">
        <v>0</v>
      </c>
      <c r="L139" s="818">
        <f t="shared" si="9"/>
        <v>0</v>
      </c>
      <c r="M139" s="818">
        <v>0</v>
      </c>
      <c r="N139" s="818">
        <v>0</v>
      </c>
      <c r="O139" s="828"/>
    </row>
    <row r="140" spans="1:15" ht="12.75" x14ac:dyDescent="0.2">
      <c r="A140" s="160">
        <v>120</v>
      </c>
      <c r="B140" s="338" t="s">
        <v>290</v>
      </c>
      <c r="C140" s="646" t="s">
        <v>291</v>
      </c>
      <c r="D140" s="815">
        <f t="shared" si="6"/>
        <v>0</v>
      </c>
      <c r="E140" s="815">
        <f t="shared" si="7"/>
        <v>0</v>
      </c>
      <c r="F140" s="815">
        <v>0</v>
      </c>
      <c r="G140" s="815">
        <v>0</v>
      </c>
      <c r="H140" s="815">
        <v>0</v>
      </c>
      <c r="I140" s="818">
        <v>0</v>
      </c>
      <c r="J140" s="818">
        <v>0</v>
      </c>
      <c r="K140" s="818">
        <v>0</v>
      </c>
      <c r="L140" s="818">
        <f t="shared" si="9"/>
        <v>0</v>
      </c>
      <c r="M140" s="818">
        <v>0</v>
      </c>
      <c r="N140" s="818">
        <v>0</v>
      </c>
      <c r="O140" s="828"/>
    </row>
    <row r="141" spans="1:15" ht="12.75" x14ac:dyDescent="0.2">
      <c r="A141" s="160">
        <v>121</v>
      </c>
      <c r="B141" s="647" t="s">
        <v>292</v>
      </c>
      <c r="C141" s="649" t="s">
        <v>293</v>
      </c>
      <c r="D141" s="815">
        <f t="shared" si="6"/>
        <v>0</v>
      </c>
      <c r="E141" s="815">
        <f t="shared" si="7"/>
        <v>0</v>
      </c>
      <c r="F141" s="815">
        <v>0</v>
      </c>
      <c r="G141" s="815">
        <v>0</v>
      </c>
      <c r="H141" s="815">
        <v>0</v>
      </c>
      <c r="I141" s="818">
        <v>0</v>
      </c>
      <c r="J141" s="818">
        <v>0</v>
      </c>
      <c r="K141" s="818">
        <v>0</v>
      </c>
      <c r="L141" s="818">
        <f t="shared" si="9"/>
        <v>0</v>
      </c>
      <c r="M141" s="818">
        <v>0</v>
      </c>
      <c r="N141" s="818">
        <v>0</v>
      </c>
      <c r="O141" s="828"/>
    </row>
    <row r="142" spans="1:15" ht="12.75" x14ac:dyDescent="0.2">
      <c r="A142" s="160">
        <v>122</v>
      </c>
      <c r="B142" s="648" t="s">
        <v>294</v>
      </c>
      <c r="C142" s="649" t="s">
        <v>295</v>
      </c>
      <c r="D142" s="815">
        <f t="shared" ref="D142:D147" si="10">E142+H142+L142</f>
        <v>0</v>
      </c>
      <c r="E142" s="815">
        <f t="shared" ref="E142:E145" si="11">F142+G142</f>
        <v>0</v>
      </c>
      <c r="F142" s="815">
        <v>0</v>
      </c>
      <c r="G142" s="815">
        <v>0</v>
      </c>
      <c r="H142" s="815">
        <v>0</v>
      </c>
      <c r="I142" s="818">
        <v>0</v>
      </c>
      <c r="J142" s="818">
        <v>0</v>
      </c>
      <c r="K142" s="818">
        <v>0</v>
      </c>
      <c r="L142" s="818">
        <f t="shared" ref="L142:L147" si="12">M142+N142</f>
        <v>0</v>
      </c>
      <c r="M142" s="818">
        <v>0</v>
      </c>
      <c r="N142" s="818">
        <v>0</v>
      </c>
      <c r="O142" s="828"/>
    </row>
    <row r="143" spans="1:15" ht="12.75" x14ac:dyDescent="0.2">
      <c r="A143" s="160">
        <v>123</v>
      </c>
      <c r="B143" s="650" t="s">
        <v>296</v>
      </c>
      <c r="C143" s="639" t="s">
        <v>460</v>
      </c>
      <c r="D143" s="815">
        <f t="shared" si="10"/>
        <v>0</v>
      </c>
      <c r="E143" s="815">
        <f t="shared" si="11"/>
        <v>0</v>
      </c>
      <c r="F143" s="815">
        <v>0</v>
      </c>
      <c r="G143" s="815">
        <v>0</v>
      </c>
      <c r="H143" s="815">
        <v>0</v>
      </c>
      <c r="I143" s="818">
        <v>0</v>
      </c>
      <c r="J143" s="818">
        <v>0</v>
      </c>
      <c r="K143" s="818">
        <v>0</v>
      </c>
      <c r="L143" s="818">
        <f t="shared" si="12"/>
        <v>0</v>
      </c>
      <c r="M143" s="818">
        <v>0</v>
      </c>
      <c r="N143" s="818">
        <v>0</v>
      </c>
      <c r="O143" s="828"/>
    </row>
    <row r="144" spans="1:15" x14ac:dyDescent="0.2">
      <c r="A144" s="160">
        <v>124</v>
      </c>
      <c r="B144" s="160" t="s">
        <v>298</v>
      </c>
      <c r="C144" s="143" t="s">
        <v>299</v>
      </c>
      <c r="D144" s="815">
        <f t="shared" si="10"/>
        <v>0</v>
      </c>
      <c r="E144" s="815">
        <f t="shared" si="11"/>
        <v>0</v>
      </c>
      <c r="F144" s="815">
        <v>0</v>
      </c>
      <c r="G144" s="815">
        <v>0</v>
      </c>
      <c r="H144" s="815">
        <v>0</v>
      </c>
      <c r="I144" s="818">
        <v>0</v>
      </c>
      <c r="J144" s="818">
        <v>0</v>
      </c>
      <c r="K144" s="818">
        <v>0</v>
      </c>
      <c r="L144" s="818">
        <f t="shared" si="12"/>
        <v>0</v>
      </c>
      <c r="M144" s="818">
        <v>0</v>
      </c>
      <c r="N144" s="818">
        <v>0</v>
      </c>
      <c r="O144" s="828"/>
    </row>
    <row r="145" spans="1:15" x14ac:dyDescent="0.2">
      <c r="A145" s="160">
        <v>125</v>
      </c>
      <c r="B145" s="74" t="s">
        <v>300</v>
      </c>
      <c r="C145" s="143" t="s">
        <v>301</v>
      </c>
      <c r="D145" s="815">
        <f t="shared" si="10"/>
        <v>0</v>
      </c>
      <c r="E145" s="819">
        <f t="shared" si="11"/>
        <v>0</v>
      </c>
      <c r="F145" s="819">
        <v>0</v>
      </c>
      <c r="G145" s="819">
        <v>0</v>
      </c>
      <c r="H145" s="815">
        <v>0</v>
      </c>
      <c r="I145" s="818">
        <v>0</v>
      </c>
      <c r="J145" s="819">
        <v>0</v>
      </c>
      <c r="K145" s="819">
        <v>0</v>
      </c>
      <c r="L145" s="818">
        <f t="shared" si="12"/>
        <v>0</v>
      </c>
      <c r="M145" s="818">
        <v>0</v>
      </c>
      <c r="N145" s="818">
        <v>0</v>
      </c>
      <c r="O145" s="828"/>
    </row>
    <row r="146" spans="1:15" x14ac:dyDescent="0.2">
      <c r="A146" s="160">
        <v>126</v>
      </c>
      <c r="B146" s="651" t="s">
        <v>302</v>
      </c>
      <c r="C146" s="652" t="s">
        <v>303</v>
      </c>
      <c r="D146" s="815">
        <f t="shared" si="10"/>
        <v>0</v>
      </c>
      <c r="E146" s="819">
        <v>0</v>
      </c>
      <c r="F146" s="819">
        <v>0</v>
      </c>
      <c r="G146" s="819">
        <v>0</v>
      </c>
      <c r="H146" s="819">
        <v>0</v>
      </c>
      <c r="I146" s="818">
        <v>0</v>
      </c>
      <c r="J146" s="819">
        <v>0</v>
      </c>
      <c r="K146" s="819">
        <v>0</v>
      </c>
      <c r="L146" s="818">
        <f t="shared" si="12"/>
        <v>0</v>
      </c>
      <c r="M146" s="818">
        <v>0</v>
      </c>
      <c r="N146" s="818">
        <v>0</v>
      </c>
      <c r="O146" s="828"/>
    </row>
    <row r="147" spans="1:15" x14ac:dyDescent="0.2">
      <c r="A147" s="160">
        <v>127</v>
      </c>
      <c r="B147" s="74" t="s">
        <v>304</v>
      </c>
      <c r="C147" s="143" t="s">
        <v>305</v>
      </c>
      <c r="D147" s="815">
        <f t="shared" si="10"/>
        <v>0</v>
      </c>
      <c r="E147" s="819">
        <v>0</v>
      </c>
      <c r="F147" s="819">
        <v>0</v>
      </c>
      <c r="G147" s="819">
        <v>0</v>
      </c>
      <c r="H147" s="819">
        <v>0</v>
      </c>
      <c r="I147" s="818">
        <v>0</v>
      </c>
      <c r="J147" s="819">
        <v>0</v>
      </c>
      <c r="K147" s="819">
        <v>0</v>
      </c>
      <c r="L147" s="818">
        <f t="shared" si="12"/>
        <v>0</v>
      </c>
      <c r="M147" s="818">
        <v>0</v>
      </c>
      <c r="N147" s="818">
        <v>0</v>
      </c>
      <c r="O147" s="828"/>
    </row>
    <row r="148" spans="1:15" x14ac:dyDescent="0.2">
      <c r="A148" s="673"/>
      <c r="B148" s="674"/>
      <c r="C148" s="675"/>
      <c r="D148" s="829"/>
      <c r="E148" s="830"/>
      <c r="F148" s="830"/>
      <c r="G148" s="830"/>
      <c r="H148" s="830"/>
      <c r="I148" s="830"/>
      <c r="J148" s="830"/>
      <c r="K148" s="830"/>
      <c r="L148" s="831"/>
      <c r="M148" s="831"/>
      <c r="N148" s="831"/>
      <c r="O148" s="832"/>
    </row>
    <row r="149" spans="1:15" ht="12.75" customHeight="1" x14ac:dyDescent="0.2">
      <c r="A149" s="676"/>
      <c r="B149" s="676"/>
      <c r="C149" s="676"/>
      <c r="D149" s="676"/>
      <c r="E149" s="676"/>
      <c r="F149" s="676"/>
      <c r="G149" s="676"/>
      <c r="H149" s="676"/>
      <c r="I149" s="833"/>
    </row>
  </sheetData>
  <mergeCells count="27">
    <mergeCell ref="A75:A78"/>
    <mergeCell ref="A82:A83"/>
    <mergeCell ref="A85:A86"/>
    <mergeCell ref="A90:A93"/>
    <mergeCell ref="B90:B93"/>
    <mergeCell ref="A72:A74"/>
    <mergeCell ref="E4:E5"/>
    <mergeCell ref="F4:G4"/>
    <mergeCell ref="H4:H5"/>
    <mergeCell ref="I4:I5"/>
    <mergeCell ref="A7:C7"/>
    <mergeCell ref="A8:C8"/>
    <mergeCell ref="A9:C9"/>
    <mergeCell ref="A34:A35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J4:K4"/>
    <mergeCell ref="M4:M5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workbookViewId="0">
      <pane xSplit="4" ySplit="11" topLeftCell="E144" activePane="bottomRight" state="frozen"/>
      <selection pane="topRight" activeCell="E1" sqref="E1"/>
      <selection pane="bottomLeft" activeCell="A12" sqref="A12"/>
      <selection pane="bottomRight" activeCell="F6" sqref="F6:H6"/>
    </sheetView>
  </sheetViews>
  <sheetFormatPr defaultRowHeight="12" x14ac:dyDescent="0.2"/>
  <cols>
    <col min="1" max="1" width="5.140625" style="159" customWidth="1"/>
    <col min="2" max="2" width="7.5703125" style="159" customWidth="1"/>
    <col min="3" max="3" width="48" style="159" customWidth="1"/>
    <col min="4" max="4" width="8.85546875" style="159" customWidth="1"/>
    <col min="5" max="5" width="23.7109375" style="158" customWidth="1"/>
    <col min="6" max="6" width="11.28515625" style="158" customWidth="1"/>
    <col min="7" max="7" width="21" style="158" customWidth="1"/>
    <col min="8" max="8" width="26.7109375" style="158" customWidth="1"/>
    <col min="9" max="9" width="8.28515625" style="158" customWidth="1"/>
    <col min="10" max="10" width="10.140625" style="158" customWidth="1"/>
    <col min="11" max="11" width="29.42578125" style="158" customWidth="1"/>
    <col min="12" max="12" width="22.42578125" style="158" customWidth="1"/>
    <col min="13" max="16384" width="9.140625" style="158"/>
  </cols>
  <sheetData>
    <row r="1" spans="1:14" ht="33.75" customHeight="1" x14ac:dyDescent="0.2">
      <c r="A1" s="1033" t="s">
        <v>752</v>
      </c>
      <c r="B1" s="1033"/>
      <c r="C1" s="1033"/>
      <c r="D1" s="1033"/>
      <c r="E1" s="1033"/>
      <c r="F1" s="1033"/>
      <c r="G1" s="1033"/>
      <c r="H1" s="1033"/>
      <c r="I1" s="1033"/>
      <c r="J1" s="1033"/>
      <c r="K1" s="1033"/>
      <c r="L1" s="1033"/>
    </row>
    <row r="2" spans="1:14" ht="9" customHeight="1" x14ac:dyDescent="0.2"/>
    <row r="3" spans="1:14" ht="15" customHeight="1" x14ac:dyDescent="0.2">
      <c r="A3" s="1034" t="s">
        <v>308</v>
      </c>
      <c r="B3" s="1037" t="s">
        <v>1</v>
      </c>
      <c r="C3" s="1040" t="s">
        <v>309</v>
      </c>
      <c r="D3" s="1043" t="s">
        <v>753</v>
      </c>
      <c r="E3" s="1043"/>
      <c r="F3" s="1043"/>
      <c r="G3" s="1043"/>
      <c r="H3" s="1043"/>
      <c r="I3" s="1043"/>
      <c r="J3" s="1043"/>
      <c r="K3" s="1043"/>
      <c r="L3" s="1043"/>
    </row>
    <row r="4" spans="1:14" ht="14.25" customHeight="1" x14ac:dyDescent="0.2">
      <c r="A4" s="1035"/>
      <c r="B4" s="1038"/>
      <c r="C4" s="1041"/>
      <c r="D4" s="1040" t="s">
        <v>438</v>
      </c>
      <c r="E4" s="1044" t="s">
        <v>447</v>
      </c>
      <c r="F4" s="1044"/>
      <c r="G4" s="1044"/>
      <c r="H4" s="1044"/>
      <c r="I4" s="1044"/>
      <c r="J4" s="1044"/>
      <c r="K4" s="1044"/>
      <c r="L4" s="1044"/>
    </row>
    <row r="5" spans="1:14" ht="14.25" customHeight="1" x14ac:dyDescent="0.2">
      <c r="A5" s="1035"/>
      <c r="B5" s="1038"/>
      <c r="C5" s="1041"/>
      <c r="D5" s="1041"/>
      <c r="E5" s="1045" t="s">
        <v>754</v>
      </c>
      <c r="F5" s="1046"/>
      <c r="G5" s="1046"/>
      <c r="H5" s="1047"/>
      <c r="I5" s="1045" t="s">
        <v>755</v>
      </c>
      <c r="J5" s="1046"/>
      <c r="K5" s="1046"/>
      <c r="L5" s="1047"/>
    </row>
    <row r="6" spans="1:14" ht="66.75" customHeight="1" x14ac:dyDescent="0.2">
      <c r="A6" s="1035"/>
      <c r="B6" s="1038"/>
      <c r="C6" s="1041"/>
      <c r="D6" s="1041"/>
      <c r="E6" s="572" t="s">
        <v>756</v>
      </c>
      <c r="F6" s="1048" t="s">
        <v>800</v>
      </c>
      <c r="G6" s="1049"/>
      <c r="H6" s="1050"/>
      <c r="I6" s="1053" t="s">
        <v>757</v>
      </c>
      <c r="J6" s="1054"/>
      <c r="K6" s="1054"/>
      <c r="L6" s="1055"/>
    </row>
    <row r="7" spans="1:14" ht="24.75" customHeight="1" x14ac:dyDescent="0.2">
      <c r="A7" s="1035"/>
      <c r="B7" s="1038"/>
      <c r="C7" s="1041"/>
      <c r="D7" s="1041"/>
      <c r="E7" s="1034" t="s">
        <v>758</v>
      </c>
      <c r="F7" s="1034" t="s">
        <v>46</v>
      </c>
      <c r="G7" s="1059" t="s">
        <v>759</v>
      </c>
      <c r="H7" s="1060"/>
      <c r="I7" s="1056" t="s">
        <v>760</v>
      </c>
      <c r="J7" s="1048" t="s">
        <v>801</v>
      </c>
      <c r="K7" s="1049"/>
      <c r="L7" s="1050"/>
    </row>
    <row r="8" spans="1:14" ht="18" customHeight="1" x14ac:dyDescent="0.2">
      <c r="A8" s="1035"/>
      <c r="B8" s="1038"/>
      <c r="C8" s="1041"/>
      <c r="D8" s="1041"/>
      <c r="E8" s="1035"/>
      <c r="F8" s="1035"/>
      <c r="G8" s="1044" t="s">
        <v>798</v>
      </c>
      <c r="H8" s="1034" t="s">
        <v>746</v>
      </c>
      <c r="I8" s="1057"/>
      <c r="J8" s="1043" t="s">
        <v>46</v>
      </c>
      <c r="K8" s="1048" t="s">
        <v>761</v>
      </c>
      <c r="L8" s="1050"/>
    </row>
    <row r="9" spans="1:14" ht="117.75" customHeight="1" x14ac:dyDescent="0.2">
      <c r="A9" s="1036"/>
      <c r="B9" s="1039"/>
      <c r="C9" s="1042"/>
      <c r="D9" s="1042"/>
      <c r="E9" s="1036"/>
      <c r="F9" s="1036"/>
      <c r="G9" s="1044"/>
      <c r="H9" s="1036"/>
      <c r="I9" s="1058"/>
      <c r="J9" s="1043"/>
      <c r="K9" s="802" t="s">
        <v>799</v>
      </c>
      <c r="L9" s="574" t="s">
        <v>747</v>
      </c>
    </row>
    <row r="10" spans="1:14" ht="12.75" customHeight="1" x14ac:dyDescent="0.2">
      <c r="A10" s="575">
        <v>1</v>
      </c>
      <c r="B10" s="575">
        <v>2</v>
      </c>
      <c r="C10" s="575">
        <v>3</v>
      </c>
      <c r="D10" s="575">
        <v>4</v>
      </c>
      <c r="E10" s="560">
        <v>5</v>
      </c>
      <c r="F10" s="560">
        <v>6</v>
      </c>
      <c r="G10" s="560"/>
      <c r="H10" s="560">
        <v>7</v>
      </c>
      <c r="I10" s="560">
        <v>8</v>
      </c>
      <c r="J10" s="560">
        <v>9</v>
      </c>
      <c r="K10" s="560"/>
      <c r="L10" s="560">
        <v>10</v>
      </c>
    </row>
    <row r="11" spans="1:14" ht="21" customHeight="1" x14ac:dyDescent="0.2">
      <c r="A11" s="1051" t="s">
        <v>544</v>
      </c>
      <c r="B11" s="1051"/>
      <c r="C11" s="1052"/>
      <c r="D11" s="576">
        <f t="shared" ref="D11:L11" si="0">SUM(D12:D149)-D92</f>
        <v>125941</v>
      </c>
      <c r="E11" s="576">
        <f t="shared" si="0"/>
        <v>93481</v>
      </c>
      <c r="F11" s="576">
        <f t="shared" si="0"/>
        <v>163591</v>
      </c>
      <c r="G11" s="576">
        <f t="shared" si="0"/>
        <v>70110</v>
      </c>
      <c r="H11" s="576">
        <f t="shared" si="0"/>
        <v>93481</v>
      </c>
      <c r="I11" s="576">
        <f t="shared" si="0"/>
        <v>32460</v>
      </c>
      <c r="J11" s="576">
        <f t="shared" si="0"/>
        <v>32460</v>
      </c>
      <c r="K11" s="576">
        <f t="shared" si="0"/>
        <v>7480</v>
      </c>
      <c r="L11" s="576">
        <f t="shared" si="0"/>
        <v>24980</v>
      </c>
      <c r="N11" s="587"/>
    </row>
    <row r="12" spans="1:14" x14ac:dyDescent="0.2">
      <c r="A12" s="160">
        <v>1</v>
      </c>
      <c r="B12" s="48" t="s">
        <v>54</v>
      </c>
      <c r="C12" s="577" t="s">
        <v>55</v>
      </c>
      <c r="D12" s="677">
        <f>E12+I12</f>
        <v>0</v>
      </c>
      <c r="E12" s="677">
        <v>0</v>
      </c>
      <c r="F12" s="677">
        <f>G12+H12</f>
        <v>0</v>
      </c>
      <c r="G12" s="677">
        <v>0</v>
      </c>
      <c r="H12" s="677">
        <v>0</v>
      </c>
      <c r="I12" s="677">
        <v>0</v>
      </c>
      <c r="J12" s="677">
        <f>K12+L12</f>
        <v>0</v>
      </c>
      <c r="K12" s="677">
        <v>0</v>
      </c>
      <c r="L12" s="677">
        <v>0</v>
      </c>
    </row>
    <row r="13" spans="1:14" x14ac:dyDescent="0.2">
      <c r="A13" s="160">
        <v>2</v>
      </c>
      <c r="B13" s="51" t="s">
        <v>56</v>
      </c>
      <c r="C13" s="577" t="s">
        <v>57</v>
      </c>
      <c r="D13" s="677">
        <f t="shared" ref="D13:D76" si="1">E13+I13</f>
        <v>0</v>
      </c>
      <c r="E13" s="677">
        <v>0</v>
      </c>
      <c r="F13" s="677">
        <f t="shared" ref="F13:F76" si="2">G13+H13</f>
        <v>0</v>
      </c>
      <c r="G13" s="677">
        <v>0</v>
      </c>
      <c r="H13" s="677">
        <v>0</v>
      </c>
      <c r="I13" s="677">
        <v>0</v>
      </c>
      <c r="J13" s="677">
        <f t="shared" ref="J13:J76" si="3">K13+L13</f>
        <v>0</v>
      </c>
      <c r="K13" s="677">
        <v>0</v>
      </c>
      <c r="L13" s="677">
        <v>0</v>
      </c>
    </row>
    <row r="14" spans="1:14" x14ac:dyDescent="0.2">
      <c r="A14" s="160">
        <v>3</v>
      </c>
      <c r="B14" s="166" t="s">
        <v>16</v>
      </c>
      <c r="C14" s="577" t="s">
        <v>17</v>
      </c>
      <c r="D14" s="677">
        <f t="shared" si="1"/>
        <v>4518</v>
      </c>
      <c r="E14" s="677">
        <v>3565</v>
      </c>
      <c r="F14" s="677">
        <f t="shared" si="2"/>
        <v>6241</v>
      </c>
      <c r="G14" s="677">
        <v>2676</v>
      </c>
      <c r="H14" s="677">
        <v>3565</v>
      </c>
      <c r="I14" s="677">
        <v>953</v>
      </c>
      <c r="J14" s="677">
        <f t="shared" si="3"/>
        <v>953</v>
      </c>
      <c r="K14" s="677">
        <v>0</v>
      </c>
      <c r="L14" s="677">
        <v>953</v>
      </c>
    </row>
    <row r="15" spans="1:14" x14ac:dyDescent="0.2">
      <c r="A15" s="160">
        <v>4</v>
      </c>
      <c r="B15" s="48" t="s">
        <v>58</v>
      </c>
      <c r="C15" s="577" t="s">
        <v>59</v>
      </c>
      <c r="D15" s="677">
        <f t="shared" si="1"/>
        <v>0</v>
      </c>
      <c r="E15" s="677">
        <v>0</v>
      </c>
      <c r="F15" s="677">
        <f t="shared" si="2"/>
        <v>0</v>
      </c>
      <c r="G15" s="677">
        <v>0</v>
      </c>
      <c r="H15" s="677">
        <v>0</v>
      </c>
      <c r="I15" s="677">
        <v>0</v>
      </c>
      <c r="J15" s="677">
        <f t="shared" si="3"/>
        <v>0</v>
      </c>
      <c r="K15" s="677">
        <v>0</v>
      </c>
      <c r="L15" s="677">
        <v>0</v>
      </c>
    </row>
    <row r="16" spans="1:14" x14ac:dyDescent="0.2">
      <c r="A16" s="160">
        <v>5</v>
      </c>
      <c r="B16" s="48" t="s">
        <v>60</v>
      </c>
      <c r="C16" s="577" t="s">
        <v>61</v>
      </c>
      <c r="D16" s="677">
        <f t="shared" si="1"/>
        <v>0</v>
      </c>
      <c r="E16" s="677">
        <v>0</v>
      </c>
      <c r="F16" s="677">
        <f t="shared" si="2"/>
        <v>0</v>
      </c>
      <c r="G16" s="677">
        <v>0</v>
      </c>
      <c r="H16" s="677">
        <v>0</v>
      </c>
      <c r="I16" s="677">
        <v>0</v>
      </c>
      <c r="J16" s="677">
        <f t="shared" si="3"/>
        <v>0</v>
      </c>
      <c r="K16" s="677">
        <v>0</v>
      </c>
      <c r="L16" s="677">
        <v>0</v>
      </c>
    </row>
    <row r="17" spans="1:12" x14ac:dyDescent="0.2">
      <c r="A17" s="160">
        <v>6</v>
      </c>
      <c r="B17" s="166" t="s">
        <v>18</v>
      </c>
      <c r="C17" s="577" t="s">
        <v>19</v>
      </c>
      <c r="D17" s="677">
        <f t="shared" si="1"/>
        <v>9828</v>
      </c>
      <c r="E17" s="677">
        <v>6280</v>
      </c>
      <c r="F17" s="677">
        <f t="shared" si="2"/>
        <v>10990</v>
      </c>
      <c r="G17" s="677">
        <v>4710</v>
      </c>
      <c r="H17" s="677">
        <v>6280</v>
      </c>
      <c r="I17" s="677">
        <v>3548</v>
      </c>
      <c r="J17" s="677">
        <f t="shared" si="3"/>
        <v>3548</v>
      </c>
      <c r="K17" s="677">
        <v>1870</v>
      </c>
      <c r="L17" s="677">
        <v>1678</v>
      </c>
    </row>
    <row r="18" spans="1:12" x14ac:dyDescent="0.2">
      <c r="A18" s="160">
        <v>7</v>
      </c>
      <c r="B18" s="48" t="s">
        <v>62</v>
      </c>
      <c r="C18" s="577" t="s">
        <v>63</v>
      </c>
      <c r="D18" s="677">
        <f t="shared" si="1"/>
        <v>5903</v>
      </c>
      <c r="E18" s="677">
        <v>3183</v>
      </c>
      <c r="F18" s="677">
        <f t="shared" si="2"/>
        <v>5570</v>
      </c>
      <c r="G18" s="677">
        <v>2387</v>
      </c>
      <c r="H18" s="677">
        <v>3183</v>
      </c>
      <c r="I18" s="677">
        <v>2720</v>
      </c>
      <c r="J18" s="677">
        <f t="shared" si="3"/>
        <v>2720</v>
      </c>
      <c r="K18" s="677">
        <v>1870</v>
      </c>
      <c r="L18" s="677">
        <v>850</v>
      </c>
    </row>
    <row r="19" spans="1:12" x14ac:dyDescent="0.2">
      <c r="A19" s="160">
        <v>8</v>
      </c>
      <c r="B19" s="166" t="s">
        <v>64</v>
      </c>
      <c r="C19" s="577" t="s">
        <v>65</v>
      </c>
      <c r="D19" s="677">
        <f t="shared" si="1"/>
        <v>0</v>
      </c>
      <c r="E19" s="677">
        <v>0</v>
      </c>
      <c r="F19" s="677">
        <f t="shared" si="2"/>
        <v>0</v>
      </c>
      <c r="G19" s="677">
        <v>0</v>
      </c>
      <c r="H19" s="677">
        <v>0</v>
      </c>
      <c r="I19" s="677">
        <v>0</v>
      </c>
      <c r="J19" s="677">
        <f t="shared" si="3"/>
        <v>0</v>
      </c>
      <c r="K19" s="677">
        <v>0</v>
      </c>
      <c r="L19" s="677">
        <v>0</v>
      </c>
    </row>
    <row r="20" spans="1:12" x14ac:dyDescent="0.2">
      <c r="A20" s="160">
        <v>9</v>
      </c>
      <c r="B20" s="166" t="s">
        <v>66</v>
      </c>
      <c r="C20" s="577" t="s">
        <v>67</v>
      </c>
      <c r="D20" s="677">
        <f t="shared" si="1"/>
        <v>0</v>
      </c>
      <c r="E20" s="677">
        <v>0</v>
      </c>
      <c r="F20" s="677">
        <f t="shared" si="2"/>
        <v>0</v>
      </c>
      <c r="G20" s="677">
        <v>0</v>
      </c>
      <c r="H20" s="677">
        <v>0</v>
      </c>
      <c r="I20" s="677">
        <v>0</v>
      </c>
      <c r="J20" s="677">
        <f t="shared" si="3"/>
        <v>0</v>
      </c>
      <c r="K20" s="677">
        <v>0</v>
      </c>
      <c r="L20" s="677">
        <v>0</v>
      </c>
    </row>
    <row r="21" spans="1:12" x14ac:dyDescent="0.2">
      <c r="A21" s="160">
        <v>10</v>
      </c>
      <c r="B21" s="166" t="s">
        <v>68</v>
      </c>
      <c r="C21" s="577" t="s">
        <v>69</v>
      </c>
      <c r="D21" s="677">
        <f t="shared" si="1"/>
        <v>0</v>
      </c>
      <c r="E21" s="677">
        <v>0</v>
      </c>
      <c r="F21" s="677">
        <f t="shared" si="2"/>
        <v>0</v>
      </c>
      <c r="G21" s="677">
        <v>0</v>
      </c>
      <c r="H21" s="677">
        <v>0</v>
      </c>
      <c r="I21" s="677">
        <v>0</v>
      </c>
      <c r="J21" s="677">
        <f t="shared" si="3"/>
        <v>0</v>
      </c>
      <c r="K21" s="677">
        <v>0</v>
      </c>
      <c r="L21" s="677">
        <v>0</v>
      </c>
    </row>
    <row r="22" spans="1:12" x14ac:dyDescent="0.2">
      <c r="A22" s="160">
        <v>11</v>
      </c>
      <c r="B22" s="166" t="s">
        <v>70</v>
      </c>
      <c r="C22" s="577" t="s">
        <v>71</v>
      </c>
      <c r="D22" s="677">
        <f t="shared" si="1"/>
        <v>0</v>
      </c>
      <c r="E22" s="677">
        <v>0</v>
      </c>
      <c r="F22" s="677">
        <f t="shared" si="2"/>
        <v>0</v>
      </c>
      <c r="G22" s="677">
        <v>0</v>
      </c>
      <c r="H22" s="677">
        <v>0</v>
      </c>
      <c r="I22" s="677">
        <v>0</v>
      </c>
      <c r="J22" s="677">
        <f t="shared" si="3"/>
        <v>0</v>
      </c>
      <c r="K22" s="677">
        <v>0</v>
      </c>
      <c r="L22" s="677">
        <v>0</v>
      </c>
    </row>
    <row r="23" spans="1:12" x14ac:dyDescent="0.2">
      <c r="A23" s="160">
        <v>12</v>
      </c>
      <c r="B23" s="166" t="s">
        <v>72</v>
      </c>
      <c r="C23" s="577" t="s">
        <v>73</v>
      </c>
      <c r="D23" s="677">
        <f t="shared" si="1"/>
        <v>0</v>
      </c>
      <c r="E23" s="677">
        <v>0</v>
      </c>
      <c r="F23" s="677">
        <f t="shared" si="2"/>
        <v>0</v>
      </c>
      <c r="G23" s="677">
        <v>0</v>
      </c>
      <c r="H23" s="677">
        <v>0</v>
      </c>
      <c r="I23" s="677">
        <v>0</v>
      </c>
      <c r="J23" s="677">
        <f t="shared" si="3"/>
        <v>0</v>
      </c>
      <c r="K23" s="677">
        <v>0</v>
      </c>
      <c r="L23" s="677">
        <v>0</v>
      </c>
    </row>
    <row r="24" spans="1:12" x14ac:dyDescent="0.2">
      <c r="A24" s="160">
        <v>13</v>
      </c>
      <c r="B24" s="166" t="s">
        <v>74</v>
      </c>
      <c r="C24" s="577" t="s">
        <v>75</v>
      </c>
      <c r="D24" s="677">
        <f t="shared" si="1"/>
        <v>0</v>
      </c>
      <c r="E24" s="677">
        <v>0</v>
      </c>
      <c r="F24" s="677">
        <f t="shared" si="2"/>
        <v>0</v>
      </c>
      <c r="G24" s="677">
        <v>0</v>
      </c>
      <c r="H24" s="677">
        <v>0</v>
      </c>
      <c r="I24" s="677">
        <v>0</v>
      </c>
      <c r="J24" s="677">
        <f t="shared" si="3"/>
        <v>0</v>
      </c>
      <c r="K24" s="677">
        <v>0</v>
      </c>
      <c r="L24" s="677">
        <v>0</v>
      </c>
    </row>
    <row r="25" spans="1:12" x14ac:dyDescent="0.2">
      <c r="A25" s="160">
        <v>14</v>
      </c>
      <c r="B25" s="166" t="s">
        <v>76</v>
      </c>
      <c r="C25" s="577" t="s">
        <v>77</v>
      </c>
      <c r="D25" s="677">
        <f t="shared" si="1"/>
        <v>0</v>
      </c>
      <c r="E25" s="677">
        <v>0</v>
      </c>
      <c r="F25" s="677">
        <f t="shared" si="2"/>
        <v>0</v>
      </c>
      <c r="G25" s="677">
        <v>0</v>
      </c>
      <c r="H25" s="677">
        <v>0</v>
      </c>
      <c r="I25" s="677">
        <v>0</v>
      </c>
      <c r="J25" s="677">
        <f t="shared" si="3"/>
        <v>0</v>
      </c>
      <c r="K25" s="677">
        <v>0</v>
      </c>
      <c r="L25" s="677">
        <v>0</v>
      </c>
    </row>
    <row r="26" spans="1:12" x14ac:dyDescent="0.2">
      <c r="A26" s="160">
        <v>15</v>
      </c>
      <c r="B26" s="166" t="s">
        <v>78</v>
      </c>
      <c r="C26" s="577" t="s">
        <v>79</v>
      </c>
      <c r="D26" s="677">
        <f t="shared" si="1"/>
        <v>0</v>
      </c>
      <c r="E26" s="677">
        <v>0</v>
      </c>
      <c r="F26" s="677">
        <f t="shared" si="2"/>
        <v>0</v>
      </c>
      <c r="G26" s="677">
        <v>0</v>
      </c>
      <c r="H26" s="677">
        <v>0</v>
      </c>
      <c r="I26" s="677">
        <v>0</v>
      </c>
      <c r="J26" s="677">
        <f t="shared" si="3"/>
        <v>0</v>
      </c>
      <c r="K26" s="677">
        <v>0</v>
      </c>
      <c r="L26" s="677">
        <v>0</v>
      </c>
    </row>
    <row r="27" spans="1:12" x14ac:dyDescent="0.2">
      <c r="A27" s="160">
        <v>16</v>
      </c>
      <c r="B27" s="166" t="s">
        <v>80</v>
      </c>
      <c r="C27" s="577" t="s">
        <v>81</v>
      </c>
      <c r="D27" s="677">
        <f t="shared" si="1"/>
        <v>0</v>
      </c>
      <c r="E27" s="677">
        <v>0</v>
      </c>
      <c r="F27" s="677">
        <f t="shared" si="2"/>
        <v>0</v>
      </c>
      <c r="G27" s="677">
        <v>0</v>
      </c>
      <c r="H27" s="677">
        <v>0</v>
      </c>
      <c r="I27" s="677">
        <v>0</v>
      </c>
      <c r="J27" s="677">
        <f t="shared" si="3"/>
        <v>0</v>
      </c>
      <c r="K27" s="677">
        <v>0</v>
      </c>
      <c r="L27" s="677">
        <v>0</v>
      </c>
    </row>
    <row r="28" spans="1:12" x14ac:dyDescent="0.2">
      <c r="A28" s="160">
        <v>17</v>
      </c>
      <c r="B28" s="166" t="s">
        <v>20</v>
      </c>
      <c r="C28" s="577" t="s">
        <v>21</v>
      </c>
      <c r="D28" s="677">
        <f t="shared" si="1"/>
        <v>8618</v>
      </c>
      <c r="E28" s="677">
        <v>5325</v>
      </c>
      <c r="F28" s="677">
        <f t="shared" si="2"/>
        <v>9319</v>
      </c>
      <c r="G28" s="677">
        <v>3994</v>
      </c>
      <c r="H28" s="677">
        <v>5325</v>
      </c>
      <c r="I28" s="677">
        <v>3293</v>
      </c>
      <c r="J28" s="677">
        <f t="shared" si="3"/>
        <v>3293</v>
      </c>
      <c r="K28" s="677">
        <v>1870</v>
      </c>
      <c r="L28" s="677">
        <v>1423</v>
      </c>
    </row>
    <row r="29" spans="1:12" x14ac:dyDescent="0.2">
      <c r="A29" s="160">
        <v>18</v>
      </c>
      <c r="B29" s="48" t="s">
        <v>82</v>
      </c>
      <c r="C29" s="577" t="s">
        <v>83</v>
      </c>
      <c r="D29" s="677">
        <f t="shared" si="1"/>
        <v>0</v>
      </c>
      <c r="E29" s="677">
        <v>0</v>
      </c>
      <c r="F29" s="677">
        <f t="shared" si="2"/>
        <v>0</v>
      </c>
      <c r="G29" s="677">
        <v>0</v>
      </c>
      <c r="H29" s="677">
        <v>0</v>
      </c>
      <c r="I29" s="677">
        <v>0</v>
      </c>
      <c r="J29" s="677">
        <f t="shared" si="3"/>
        <v>0</v>
      </c>
      <c r="K29" s="677">
        <v>0</v>
      </c>
      <c r="L29" s="677">
        <v>0</v>
      </c>
    </row>
    <row r="30" spans="1:12" x14ac:dyDescent="0.2">
      <c r="A30" s="160">
        <v>19</v>
      </c>
      <c r="B30" s="48" t="s">
        <v>84</v>
      </c>
      <c r="C30" s="577" t="s">
        <v>85</v>
      </c>
      <c r="D30" s="677">
        <f t="shared" si="1"/>
        <v>0</v>
      </c>
      <c r="E30" s="677">
        <v>0</v>
      </c>
      <c r="F30" s="677">
        <f t="shared" si="2"/>
        <v>0</v>
      </c>
      <c r="G30" s="677">
        <v>0</v>
      </c>
      <c r="H30" s="677">
        <v>0</v>
      </c>
      <c r="I30" s="677">
        <v>0</v>
      </c>
      <c r="J30" s="677">
        <f t="shared" si="3"/>
        <v>0</v>
      </c>
      <c r="K30" s="677">
        <v>0</v>
      </c>
      <c r="L30" s="677">
        <v>0</v>
      </c>
    </row>
    <row r="31" spans="1:12" x14ac:dyDescent="0.2">
      <c r="A31" s="160">
        <v>20</v>
      </c>
      <c r="B31" s="48" t="s">
        <v>86</v>
      </c>
      <c r="C31" s="577" t="s">
        <v>87</v>
      </c>
      <c r="D31" s="677">
        <f t="shared" si="1"/>
        <v>0</v>
      </c>
      <c r="E31" s="677">
        <v>0</v>
      </c>
      <c r="F31" s="677">
        <f t="shared" si="2"/>
        <v>0</v>
      </c>
      <c r="G31" s="677">
        <v>0</v>
      </c>
      <c r="H31" s="677">
        <v>0</v>
      </c>
      <c r="I31" s="677">
        <v>0</v>
      </c>
      <c r="J31" s="677">
        <f t="shared" si="3"/>
        <v>0</v>
      </c>
      <c r="K31" s="677">
        <v>0</v>
      </c>
      <c r="L31" s="677">
        <v>0</v>
      </c>
    </row>
    <row r="32" spans="1:12" x14ac:dyDescent="0.2">
      <c r="A32" s="160">
        <v>21</v>
      </c>
      <c r="B32" s="48" t="s">
        <v>22</v>
      </c>
      <c r="C32" s="577" t="s">
        <v>23</v>
      </c>
      <c r="D32" s="677">
        <f t="shared" si="1"/>
        <v>4278</v>
      </c>
      <c r="E32" s="677">
        <v>3376</v>
      </c>
      <c r="F32" s="677">
        <f t="shared" si="2"/>
        <v>5908</v>
      </c>
      <c r="G32" s="677">
        <v>2532</v>
      </c>
      <c r="H32" s="677">
        <v>3376</v>
      </c>
      <c r="I32" s="677">
        <v>902</v>
      </c>
      <c r="J32" s="677">
        <f t="shared" si="3"/>
        <v>902</v>
      </c>
      <c r="K32" s="677">
        <v>0</v>
      </c>
      <c r="L32" s="677">
        <v>902</v>
      </c>
    </row>
    <row r="33" spans="1:12" x14ac:dyDescent="0.2">
      <c r="A33" s="160">
        <v>22</v>
      </c>
      <c r="B33" s="166" t="s">
        <v>24</v>
      </c>
      <c r="C33" s="577" t="s">
        <v>25</v>
      </c>
      <c r="D33" s="677">
        <f t="shared" si="1"/>
        <v>0</v>
      </c>
      <c r="E33" s="677">
        <v>0</v>
      </c>
      <c r="F33" s="677">
        <f t="shared" si="2"/>
        <v>0</v>
      </c>
      <c r="G33" s="677">
        <v>0</v>
      </c>
      <c r="H33" s="677">
        <v>0</v>
      </c>
      <c r="I33" s="677">
        <v>0</v>
      </c>
      <c r="J33" s="677">
        <f t="shared" si="3"/>
        <v>0</v>
      </c>
      <c r="K33" s="677">
        <v>0</v>
      </c>
      <c r="L33" s="677">
        <v>0</v>
      </c>
    </row>
    <row r="34" spans="1:12" x14ac:dyDescent="0.2">
      <c r="A34" s="160">
        <v>23</v>
      </c>
      <c r="B34" s="166" t="s">
        <v>88</v>
      </c>
      <c r="C34" s="577" t="s">
        <v>89</v>
      </c>
      <c r="D34" s="677">
        <f t="shared" si="1"/>
        <v>0</v>
      </c>
      <c r="E34" s="677">
        <v>0</v>
      </c>
      <c r="F34" s="677">
        <f t="shared" si="2"/>
        <v>0</v>
      </c>
      <c r="G34" s="677">
        <v>0</v>
      </c>
      <c r="H34" s="677">
        <v>0</v>
      </c>
      <c r="I34" s="677">
        <v>0</v>
      </c>
      <c r="J34" s="677">
        <f t="shared" si="3"/>
        <v>0</v>
      </c>
      <c r="K34" s="677">
        <v>0</v>
      </c>
      <c r="L34" s="677">
        <v>0</v>
      </c>
    </row>
    <row r="35" spans="1:12" x14ac:dyDescent="0.2">
      <c r="A35" s="160">
        <v>24</v>
      </c>
      <c r="B35" s="166" t="s">
        <v>90</v>
      </c>
      <c r="C35" s="577" t="s">
        <v>91</v>
      </c>
      <c r="D35" s="677">
        <f t="shared" si="1"/>
        <v>0</v>
      </c>
      <c r="E35" s="677">
        <v>0</v>
      </c>
      <c r="F35" s="677">
        <f t="shared" si="2"/>
        <v>0</v>
      </c>
      <c r="G35" s="677">
        <v>0</v>
      </c>
      <c r="H35" s="677">
        <v>0</v>
      </c>
      <c r="I35" s="677">
        <v>0</v>
      </c>
      <c r="J35" s="677">
        <f t="shared" si="3"/>
        <v>0</v>
      </c>
      <c r="K35" s="677">
        <v>0</v>
      </c>
      <c r="L35" s="677">
        <v>0</v>
      </c>
    </row>
    <row r="36" spans="1:12" x14ac:dyDescent="0.2">
      <c r="A36" s="933">
        <v>25</v>
      </c>
      <c r="B36" s="617" t="s">
        <v>92</v>
      </c>
      <c r="C36" s="56" t="s">
        <v>771</v>
      </c>
      <c r="D36" s="677">
        <f t="shared" si="1"/>
        <v>11677</v>
      </c>
      <c r="E36" s="677">
        <v>9215</v>
      </c>
      <c r="F36" s="677">
        <f t="shared" si="2"/>
        <v>16126</v>
      </c>
      <c r="G36" s="677">
        <v>6911</v>
      </c>
      <c r="H36" s="677">
        <v>9215</v>
      </c>
      <c r="I36" s="677">
        <v>2462</v>
      </c>
      <c r="J36" s="677">
        <f t="shared" si="3"/>
        <v>2462</v>
      </c>
      <c r="K36" s="677">
        <v>0</v>
      </c>
      <c r="L36" s="677">
        <v>2462</v>
      </c>
    </row>
    <row r="37" spans="1:12" x14ac:dyDescent="0.2">
      <c r="A37" s="935"/>
      <c r="B37" s="166" t="s">
        <v>94</v>
      </c>
      <c r="C37" s="49" t="s">
        <v>95</v>
      </c>
      <c r="D37" s="677">
        <f t="shared" si="1"/>
        <v>0</v>
      </c>
      <c r="E37" s="677">
        <v>0</v>
      </c>
      <c r="F37" s="677">
        <f t="shared" si="2"/>
        <v>0</v>
      </c>
      <c r="G37" s="677">
        <v>0</v>
      </c>
      <c r="H37" s="677">
        <v>0</v>
      </c>
      <c r="I37" s="677">
        <v>0</v>
      </c>
      <c r="J37" s="677">
        <f t="shared" si="3"/>
        <v>0</v>
      </c>
      <c r="K37" s="677">
        <v>0</v>
      </c>
      <c r="L37" s="677">
        <v>0</v>
      </c>
    </row>
    <row r="38" spans="1:12" x14ac:dyDescent="0.2">
      <c r="A38" s="160">
        <v>26</v>
      </c>
      <c r="B38" s="51" t="s">
        <v>96</v>
      </c>
      <c r="C38" s="577" t="s">
        <v>97</v>
      </c>
      <c r="D38" s="677">
        <f t="shared" si="1"/>
        <v>0</v>
      </c>
      <c r="E38" s="677">
        <v>0</v>
      </c>
      <c r="F38" s="677">
        <f t="shared" si="2"/>
        <v>0</v>
      </c>
      <c r="G38" s="677">
        <v>0</v>
      </c>
      <c r="H38" s="677">
        <v>0</v>
      </c>
      <c r="I38" s="677">
        <v>0</v>
      </c>
      <c r="J38" s="677">
        <f t="shared" si="3"/>
        <v>0</v>
      </c>
      <c r="K38" s="677">
        <v>0</v>
      </c>
      <c r="L38" s="677">
        <v>0</v>
      </c>
    </row>
    <row r="39" spans="1:12" x14ac:dyDescent="0.2">
      <c r="A39" s="160">
        <v>27</v>
      </c>
      <c r="B39" s="51" t="s">
        <v>26</v>
      </c>
      <c r="C39" s="577" t="s">
        <v>27</v>
      </c>
      <c r="D39" s="677">
        <f t="shared" si="1"/>
        <v>3880</v>
      </c>
      <c r="E39" s="677">
        <v>3062</v>
      </c>
      <c r="F39" s="677">
        <f t="shared" si="2"/>
        <v>5358</v>
      </c>
      <c r="G39" s="677">
        <v>2296</v>
      </c>
      <c r="H39" s="677">
        <v>3062</v>
      </c>
      <c r="I39" s="677">
        <v>818</v>
      </c>
      <c r="J39" s="677">
        <f t="shared" si="3"/>
        <v>818</v>
      </c>
      <c r="K39" s="677">
        <v>0</v>
      </c>
      <c r="L39" s="677">
        <v>818</v>
      </c>
    </row>
    <row r="40" spans="1:12" x14ac:dyDescent="0.2">
      <c r="A40" s="160">
        <v>28</v>
      </c>
      <c r="B40" s="48" t="s">
        <v>98</v>
      </c>
      <c r="C40" s="577" t="s">
        <v>99</v>
      </c>
      <c r="D40" s="677">
        <f t="shared" si="1"/>
        <v>6904</v>
      </c>
      <c r="E40" s="677">
        <v>5448</v>
      </c>
      <c r="F40" s="677">
        <f t="shared" si="2"/>
        <v>9534</v>
      </c>
      <c r="G40" s="677">
        <v>4086</v>
      </c>
      <c r="H40" s="677">
        <v>5448</v>
      </c>
      <c r="I40" s="677">
        <v>1456</v>
      </c>
      <c r="J40" s="677">
        <f t="shared" si="3"/>
        <v>1456</v>
      </c>
      <c r="K40" s="677">
        <v>0</v>
      </c>
      <c r="L40" s="677">
        <v>1456</v>
      </c>
    </row>
    <row r="41" spans="1:12" x14ac:dyDescent="0.2">
      <c r="A41" s="160">
        <v>29</v>
      </c>
      <c r="B41" s="51" t="s">
        <v>100</v>
      </c>
      <c r="C41" s="577" t="s">
        <v>101</v>
      </c>
      <c r="D41" s="677">
        <f t="shared" si="1"/>
        <v>0</v>
      </c>
      <c r="E41" s="677">
        <v>0</v>
      </c>
      <c r="F41" s="677">
        <f t="shared" si="2"/>
        <v>0</v>
      </c>
      <c r="G41" s="677">
        <v>0</v>
      </c>
      <c r="H41" s="677">
        <v>0</v>
      </c>
      <c r="I41" s="677">
        <v>0</v>
      </c>
      <c r="J41" s="677">
        <f t="shared" si="3"/>
        <v>0</v>
      </c>
      <c r="K41" s="677">
        <v>0</v>
      </c>
      <c r="L41" s="677">
        <v>0</v>
      </c>
    </row>
    <row r="42" spans="1:12" x14ac:dyDescent="0.2">
      <c r="A42" s="160">
        <v>30</v>
      </c>
      <c r="B42" s="166" t="s">
        <v>102</v>
      </c>
      <c r="C42" s="577" t="s">
        <v>103</v>
      </c>
      <c r="D42" s="677">
        <f t="shared" si="1"/>
        <v>3855</v>
      </c>
      <c r="E42" s="677">
        <v>3042</v>
      </c>
      <c r="F42" s="677">
        <f t="shared" si="2"/>
        <v>5323</v>
      </c>
      <c r="G42" s="677">
        <v>2281</v>
      </c>
      <c r="H42" s="677">
        <v>3042</v>
      </c>
      <c r="I42" s="677">
        <v>813</v>
      </c>
      <c r="J42" s="677">
        <f t="shared" si="3"/>
        <v>813</v>
      </c>
      <c r="K42" s="677">
        <v>0</v>
      </c>
      <c r="L42" s="677">
        <v>813</v>
      </c>
    </row>
    <row r="43" spans="1:12" x14ac:dyDescent="0.2">
      <c r="A43" s="160">
        <v>31</v>
      </c>
      <c r="B43" s="51" t="s">
        <v>104</v>
      </c>
      <c r="C43" s="577" t="s">
        <v>105</v>
      </c>
      <c r="D43" s="677">
        <f t="shared" si="1"/>
        <v>0</v>
      </c>
      <c r="E43" s="677">
        <v>0</v>
      </c>
      <c r="F43" s="677">
        <f t="shared" si="2"/>
        <v>0</v>
      </c>
      <c r="G43" s="677">
        <v>0</v>
      </c>
      <c r="H43" s="677">
        <v>0</v>
      </c>
      <c r="I43" s="677">
        <v>0</v>
      </c>
      <c r="J43" s="677">
        <f t="shared" si="3"/>
        <v>0</v>
      </c>
      <c r="K43" s="677">
        <v>0</v>
      </c>
      <c r="L43" s="677">
        <v>0</v>
      </c>
    </row>
    <row r="44" spans="1:12" x14ac:dyDescent="0.2">
      <c r="A44" s="160">
        <v>32</v>
      </c>
      <c r="B44" s="48" t="s">
        <v>106</v>
      </c>
      <c r="C44" s="577" t="s">
        <v>107</v>
      </c>
      <c r="D44" s="677">
        <f t="shared" si="1"/>
        <v>0</v>
      </c>
      <c r="E44" s="677">
        <v>0</v>
      </c>
      <c r="F44" s="677">
        <f t="shared" si="2"/>
        <v>0</v>
      </c>
      <c r="G44" s="677">
        <v>0</v>
      </c>
      <c r="H44" s="677">
        <v>0</v>
      </c>
      <c r="I44" s="677">
        <v>0</v>
      </c>
      <c r="J44" s="677">
        <f t="shared" si="3"/>
        <v>0</v>
      </c>
      <c r="K44" s="677">
        <v>0</v>
      </c>
      <c r="L44" s="677">
        <v>0</v>
      </c>
    </row>
    <row r="45" spans="1:12" x14ac:dyDescent="0.2">
      <c r="A45" s="160">
        <v>33</v>
      </c>
      <c r="B45" s="161" t="s">
        <v>108</v>
      </c>
      <c r="C45" s="578" t="s">
        <v>109</v>
      </c>
      <c r="D45" s="677">
        <f t="shared" si="1"/>
        <v>0</v>
      </c>
      <c r="E45" s="677">
        <v>0</v>
      </c>
      <c r="F45" s="677">
        <f t="shared" si="2"/>
        <v>0</v>
      </c>
      <c r="G45" s="677">
        <v>0</v>
      </c>
      <c r="H45" s="677">
        <v>0</v>
      </c>
      <c r="I45" s="677">
        <v>0</v>
      </c>
      <c r="J45" s="677">
        <f t="shared" si="3"/>
        <v>0</v>
      </c>
      <c r="K45" s="677">
        <v>0</v>
      </c>
      <c r="L45" s="677">
        <v>0</v>
      </c>
    </row>
    <row r="46" spans="1:12" x14ac:dyDescent="0.2">
      <c r="A46" s="160">
        <v>34</v>
      </c>
      <c r="B46" s="48" t="s">
        <v>110</v>
      </c>
      <c r="C46" s="577" t="s">
        <v>111</v>
      </c>
      <c r="D46" s="677">
        <f t="shared" si="1"/>
        <v>0</v>
      </c>
      <c r="E46" s="677">
        <v>0</v>
      </c>
      <c r="F46" s="677">
        <f t="shared" si="2"/>
        <v>0</v>
      </c>
      <c r="G46" s="677">
        <v>0</v>
      </c>
      <c r="H46" s="677">
        <v>0</v>
      </c>
      <c r="I46" s="677">
        <v>0</v>
      </c>
      <c r="J46" s="677">
        <f t="shared" si="3"/>
        <v>0</v>
      </c>
      <c r="K46" s="677">
        <v>0</v>
      </c>
      <c r="L46" s="677">
        <v>0</v>
      </c>
    </row>
    <row r="47" spans="1:12" x14ac:dyDescent="0.2">
      <c r="A47" s="160">
        <v>35</v>
      </c>
      <c r="B47" s="48" t="s">
        <v>112</v>
      </c>
      <c r="C47" s="577" t="s">
        <v>113</v>
      </c>
      <c r="D47" s="677">
        <f t="shared" si="1"/>
        <v>0</v>
      </c>
      <c r="E47" s="677">
        <v>0</v>
      </c>
      <c r="F47" s="677">
        <f t="shared" si="2"/>
        <v>0</v>
      </c>
      <c r="G47" s="677">
        <v>0</v>
      </c>
      <c r="H47" s="677">
        <v>0</v>
      </c>
      <c r="I47" s="677">
        <v>0</v>
      </c>
      <c r="J47" s="677">
        <f t="shared" si="3"/>
        <v>0</v>
      </c>
      <c r="K47" s="677">
        <v>0</v>
      </c>
      <c r="L47" s="677">
        <v>0</v>
      </c>
    </row>
    <row r="48" spans="1:12" x14ac:dyDescent="0.2">
      <c r="A48" s="160">
        <v>36</v>
      </c>
      <c r="B48" s="166" t="s">
        <v>114</v>
      </c>
      <c r="C48" s="577" t="s">
        <v>115</v>
      </c>
      <c r="D48" s="677">
        <f t="shared" si="1"/>
        <v>0</v>
      </c>
      <c r="E48" s="677">
        <v>0</v>
      </c>
      <c r="F48" s="677">
        <f t="shared" si="2"/>
        <v>0</v>
      </c>
      <c r="G48" s="677">
        <v>0</v>
      </c>
      <c r="H48" s="677">
        <v>0</v>
      </c>
      <c r="I48" s="677">
        <v>0</v>
      </c>
      <c r="J48" s="677">
        <f t="shared" si="3"/>
        <v>0</v>
      </c>
      <c r="K48" s="677">
        <v>0</v>
      </c>
      <c r="L48" s="677">
        <v>0</v>
      </c>
    </row>
    <row r="49" spans="1:12" x14ac:dyDescent="0.2">
      <c r="A49" s="160">
        <v>37</v>
      </c>
      <c r="B49" s="51" t="s">
        <v>116</v>
      </c>
      <c r="C49" s="577" t="s">
        <v>117</v>
      </c>
      <c r="D49" s="677">
        <f t="shared" si="1"/>
        <v>0</v>
      </c>
      <c r="E49" s="677">
        <v>0</v>
      </c>
      <c r="F49" s="677">
        <f t="shared" si="2"/>
        <v>0</v>
      </c>
      <c r="G49" s="677">
        <v>0</v>
      </c>
      <c r="H49" s="677">
        <v>0</v>
      </c>
      <c r="I49" s="677">
        <v>0</v>
      </c>
      <c r="J49" s="677">
        <f t="shared" si="3"/>
        <v>0</v>
      </c>
      <c r="K49" s="677">
        <v>0</v>
      </c>
      <c r="L49" s="677">
        <v>0</v>
      </c>
    </row>
    <row r="50" spans="1:12" x14ac:dyDescent="0.2">
      <c r="A50" s="160">
        <v>38</v>
      </c>
      <c r="B50" s="166" t="s">
        <v>28</v>
      </c>
      <c r="C50" s="577" t="s">
        <v>29</v>
      </c>
      <c r="D50" s="677">
        <f t="shared" si="1"/>
        <v>12378</v>
      </c>
      <c r="E50" s="677">
        <v>9768</v>
      </c>
      <c r="F50" s="677">
        <f t="shared" si="2"/>
        <v>17094</v>
      </c>
      <c r="G50" s="677">
        <v>7326</v>
      </c>
      <c r="H50" s="677">
        <v>9768</v>
      </c>
      <c r="I50" s="677">
        <v>2610</v>
      </c>
      <c r="J50" s="677">
        <f t="shared" si="3"/>
        <v>2610</v>
      </c>
      <c r="K50" s="677">
        <v>0</v>
      </c>
      <c r="L50" s="677">
        <v>2610</v>
      </c>
    </row>
    <row r="51" spans="1:12" x14ac:dyDescent="0.2">
      <c r="A51" s="160">
        <v>39</v>
      </c>
      <c r="B51" s="48" t="s">
        <v>118</v>
      </c>
      <c r="C51" s="577" t="s">
        <v>119</v>
      </c>
      <c r="D51" s="677">
        <f t="shared" si="1"/>
        <v>0</v>
      </c>
      <c r="E51" s="677">
        <v>0</v>
      </c>
      <c r="F51" s="677">
        <f t="shared" si="2"/>
        <v>0</v>
      </c>
      <c r="G51" s="677">
        <v>0</v>
      </c>
      <c r="H51" s="677">
        <v>0</v>
      </c>
      <c r="I51" s="677">
        <v>0</v>
      </c>
      <c r="J51" s="677">
        <f t="shared" si="3"/>
        <v>0</v>
      </c>
      <c r="K51" s="677">
        <v>0</v>
      </c>
      <c r="L51" s="677">
        <v>0</v>
      </c>
    </row>
    <row r="52" spans="1:12" x14ac:dyDescent="0.2">
      <c r="A52" s="160">
        <v>40</v>
      </c>
      <c r="B52" s="48" t="s">
        <v>120</v>
      </c>
      <c r="C52" s="577" t="s">
        <v>121</v>
      </c>
      <c r="D52" s="677">
        <f t="shared" si="1"/>
        <v>0</v>
      </c>
      <c r="E52" s="677">
        <v>0</v>
      </c>
      <c r="F52" s="677">
        <f t="shared" si="2"/>
        <v>0</v>
      </c>
      <c r="G52" s="677">
        <v>0</v>
      </c>
      <c r="H52" s="677">
        <v>0</v>
      </c>
      <c r="I52" s="677">
        <v>0</v>
      </c>
      <c r="J52" s="677">
        <f t="shared" si="3"/>
        <v>0</v>
      </c>
      <c r="K52" s="677">
        <v>0</v>
      </c>
      <c r="L52" s="677">
        <v>0</v>
      </c>
    </row>
    <row r="53" spans="1:12" x14ac:dyDescent="0.2">
      <c r="A53" s="160">
        <v>41</v>
      </c>
      <c r="B53" s="166" t="s">
        <v>122</v>
      </c>
      <c r="C53" s="577" t="s">
        <v>123</v>
      </c>
      <c r="D53" s="677">
        <f t="shared" si="1"/>
        <v>0</v>
      </c>
      <c r="E53" s="677">
        <v>0</v>
      </c>
      <c r="F53" s="677">
        <f t="shared" si="2"/>
        <v>0</v>
      </c>
      <c r="G53" s="677">
        <v>0</v>
      </c>
      <c r="H53" s="677">
        <v>0</v>
      </c>
      <c r="I53" s="677">
        <v>0</v>
      </c>
      <c r="J53" s="677">
        <f t="shared" si="3"/>
        <v>0</v>
      </c>
      <c r="K53" s="677">
        <v>0</v>
      </c>
      <c r="L53" s="677">
        <v>0</v>
      </c>
    </row>
    <row r="54" spans="1:12" x14ac:dyDescent="0.2">
      <c r="A54" s="160">
        <v>42</v>
      </c>
      <c r="B54" s="51" t="s">
        <v>124</v>
      </c>
      <c r="C54" s="577" t="s">
        <v>125</v>
      </c>
      <c r="D54" s="677">
        <f t="shared" si="1"/>
        <v>0</v>
      </c>
      <c r="E54" s="677">
        <v>0</v>
      </c>
      <c r="F54" s="677">
        <f t="shared" si="2"/>
        <v>0</v>
      </c>
      <c r="G54" s="677">
        <v>0</v>
      </c>
      <c r="H54" s="677">
        <v>0</v>
      </c>
      <c r="I54" s="677">
        <v>0</v>
      </c>
      <c r="J54" s="677">
        <f t="shared" si="3"/>
        <v>0</v>
      </c>
      <c r="K54" s="677">
        <v>0</v>
      </c>
      <c r="L54" s="677">
        <v>0</v>
      </c>
    </row>
    <row r="55" spans="1:12" x14ac:dyDescent="0.2">
      <c r="A55" s="160">
        <v>43</v>
      </c>
      <c r="B55" s="166" t="s">
        <v>126</v>
      </c>
      <c r="C55" s="577" t="s">
        <v>127</v>
      </c>
      <c r="D55" s="677">
        <f t="shared" si="1"/>
        <v>0</v>
      </c>
      <c r="E55" s="677">
        <v>0</v>
      </c>
      <c r="F55" s="677">
        <f t="shared" si="2"/>
        <v>0</v>
      </c>
      <c r="G55" s="677">
        <v>0</v>
      </c>
      <c r="H55" s="677">
        <v>0</v>
      </c>
      <c r="I55" s="677">
        <v>0</v>
      </c>
      <c r="J55" s="677">
        <f t="shared" si="3"/>
        <v>0</v>
      </c>
      <c r="K55" s="677">
        <v>0</v>
      </c>
      <c r="L55" s="677">
        <v>0</v>
      </c>
    </row>
    <row r="56" spans="1:12" x14ac:dyDescent="0.2">
      <c r="A56" s="160">
        <v>44</v>
      </c>
      <c r="B56" s="51" t="s">
        <v>128</v>
      </c>
      <c r="C56" s="577" t="s">
        <v>129</v>
      </c>
      <c r="D56" s="677">
        <f t="shared" si="1"/>
        <v>0</v>
      </c>
      <c r="E56" s="677">
        <v>0</v>
      </c>
      <c r="F56" s="677">
        <f t="shared" si="2"/>
        <v>0</v>
      </c>
      <c r="G56" s="677">
        <v>0</v>
      </c>
      <c r="H56" s="677">
        <v>0</v>
      </c>
      <c r="I56" s="677">
        <v>0</v>
      </c>
      <c r="J56" s="677">
        <f t="shared" si="3"/>
        <v>0</v>
      </c>
      <c r="K56" s="677">
        <v>0</v>
      </c>
      <c r="L56" s="677">
        <v>0</v>
      </c>
    </row>
    <row r="57" spans="1:12" x14ac:dyDescent="0.2">
      <c r="A57" s="160">
        <v>45</v>
      </c>
      <c r="B57" s="166" t="s">
        <v>130</v>
      </c>
      <c r="C57" s="577" t="s">
        <v>131</v>
      </c>
      <c r="D57" s="677">
        <f t="shared" si="1"/>
        <v>0</v>
      </c>
      <c r="E57" s="677">
        <v>0</v>
      </c>
      <c r="F57" s="677">
        <f t="shared" si="2"/>
        <v>0</v>
      </c>
      <c r="G57" s="677">
        <v>0</v>
      </c>
      <c r="H57" s="677">
        <v>0</v>
      </c>
      <c r="I57" s="677">
        <v>0</v>
      </c>
      <c r="J57" s="677">
        <f t="shared" si="3"/>
        <v>0</v>
      </c>
      <c r="K57" s="677">
        <v>0</v>
      </c>
      <c r="L57" s="677">
        <v>0</v>
      </c>
    </row>
    <row r="58" spans="1:12" x14ac:dyDescent="0.2">
      <c r="A58" s="160">
        <v>46</v>
      </c>
      <c r="B58" s="51" t="s">
        <v>132</v>
      </c>
      <c r="C58" s="577" t="s">
        <v>133</v>
      </c>
      <c r="D58" s="677">
        <f t="shared" si="1"/>
        <v>0</v>
      </c>
      <c r="E58" s="677">
        <v>0</v>
      </c>
      <c r="F58" s="677">
        <f t="shared" si="2"/>
        <v>0</v>
      </c>
      <c r="G58" s="677">
        <v>0</v>
      </c>
      <c r="H58" s="677">
        <v>0</v>
      </c>
      <c r="I58" s="677">
        <v>0</v>
      </c>
      <c r="J58" s="677">
        <f t="shared" si="3"/>
        <v>0</v>
      </c>
      <c r="K58" s="677">
        <v>0</v>
      </c>
      <c r="L58" s="677">
        <v>0</v>
      </c>
    </row>
    <row r="59" spans="1:12" x14ac:dyDescent="0.2">
      <c r="A59" s="160">
        <v>47</v>
      </c>
      <c r="B59" s="166" t="s">
        <v>134</v>
      </c>
      <c r="C59" s="577" t="s">
        <v>135</v>
      </c>
      <c r="D59" s="677">
        <f t="shared" si="1"/>
        <v>0</v>
      </c>
      <c r="E59" s="677">
        <v>0</v>
      </c>
      <c r="F59" s="677">
        <f t="shared" si="2"/>
        <v>0</v>
      </c>
      <c r="G59" s="677">
        <v>0</v>
      </c>
      <c r="H59" s="677">
        <v>0</v>
      </c>
      <c r="I59" s="677">
        <v>0</v>
      </c>
      <c r="J59" s="677">
        <f t="shared" si="3"/>
        <v>0</v>
      </c>
      <c r="K59" s="677">
        <v>0</v>
      </c>
      <c r="L59" s="677">
        <v>0</v>
      </c>
    </row>
    <row r="60" spans="1:12" x14ac:dyDescent="0.2">
      <c r="A60" s="160">
        <v>48</v>
      </c>
      <c r="B60" s="166" t="s">
        <v>136</v>
      </c>
      <c r="C60" s="577" t="s">
        <v>137</v>
      </c>
      <c r="D60" s="677">
        <f t="shared" si="1"/>
        <v>0</v>
      </c>
      <c r="E60" s="677">
        <v>0</v>
      </c>
      <c r="F60" s="677">
        <f t="shared" si="2"/>
        <v>0</v>
      </c>
      <c r="G60" s="677">
        <v>0</v>
      </c>
      <c r="H60" s="677">
        <v>0</v>
      </c>
      <c r="I60" s="677">
        <v>0</v>
      </c>
      <c r="J60" s="677">
        <f t="shared" si="3"/>
        <v>0</v>
      </c>
      <c r="K60" s="677">
        <v>0</v>
      </c>
      <c r="L60" s="677">
        <v>0</v>
      </c>
    </row>
    <row r="61" spans="1:12" x14ac:dyDescent="0.2">
      <c r="A61" s="160">
        <v>49</v>
      </c>
      <c r="B61" s="166" t="s">
        <v>138</v>
      </c>
      <c r="C61" s="577" t="s">
        <v>139</v>
      </c>
      <c r="D61" s="677">
        <f t="shared" si="1"/>
        <v>0</v>
      </c>
      <c r="E61" s="677">
        <v>0</v>
      </c>
      <c r="F61" s="677">
        <f t="shared" si="2"/>
        <v>0</v>
      </c>
      <c r="G61" s="677">
        <v>0</v>
      </c>
      <c r="H61" s="677">
        <v>0</v>
      </c>
      <c r="I61" s="677">
        <v>0</v>
      </c>
      <c r="J61" s="677">
        <f t="shared" si="3"/>
        <v>0</v>
      </c>
      <c r="K61" s="677">
        <v>0</v>
      </c>
      <c r="L61" s="677">
        <v>0</v>
      </c>
    </row>
    <row r="62" spans="1:12" x14ac:dyDescent="0.2">
      <c r="A62" s="160">
        <v>50</v>
      </c>
      <c r="B62" s="166" t="s">
        <v>140</v>
      </c>
      <c r="C62" s="577" t="s">
        <v>141</v>
      </c>
      <c r="D62" s="677">
        <f t="shared" si="1"/>
        <v>0</v>
      </c>
      <c r="E62" s="677">
        <v>0</v>
      </c>
      <c r="F62" s="677">
        <f t="shared" si="2"/>
        <v>0</v>
      </c>
      <c r="G62" s="677">
        <v>0</v>
      </c>
      <c r="H62" s="677">
        <v>0</v>
      </c>
      <c r="I62" s="677">
        <v>0</v>
      </c>
      <c r="J62" s="677">
        <f t="shared" si="3"/>
        <v>0</v>
      </c>
      <c r="K62" s="677">
        <v>0</v>
      </c>
      <c r="L62" s="677">
        <v>0</v>
      </c>
    </row>
    <row r="63" spans="1:12" x14ac:dyDescent="0.2">
      <c r="A63" s="160">
        <v>51</v>
      </c>
      <c r="B63" s="51" t="s">
        <v>142</v>
      </c>
      <c r="C63" s="577" t="s">
        <v>143</v>
      </c>
      <c r="D63" s="677">
        <f t="shared" si="1"/>
        <v>0</v>
      </c>
      <c r="E63" s="677">
        <v>0</v>
      </c>
      <c r="F63" s="677">
        <f t="shared" si="2"/>
        <v>0</v>
      </c>
      <c r="G63" s="677">
        <v>0</v>
      </c>
      <c r="H63" s="677">
        <v>0</v>
      </c>
      <c r="I63" s="677">
        <v>0</v>
      </c>
      <c r="J63" s="677">
        <f t="shared" si="3"/>
        <v>0</v>
      </c>
      <c r="K63" s="677">
        <v>0</v>
      </c>
      <c r="L63" s="677">
        <v>0</v>
      </c>
    </row>
    <row r="64" spans="1:12" x14ac:dyDescent="0.2">
      <c r="A64" s="160">
        <v>52</v>
      </c>
      <c r="B64" s="166" t="s">
        <v>144</v>
      </c>
      <c r="C64" s="577" t="s">
        <v>145</v>
      </c>
      <c r="D64" s="677">
        <f t="shared" si="1"/>
        <v>0</v>
      </c>
      <c r="E64" s="677">
        <v>0</v>
      </c>
      <c r="F64" s="677">
        <f t="shared" si="2"/>
        <v>0</v>
      </c>
      <c r="G64" s="677">
        <v>0</v>
      </c>
      <c r="H64" s="677">
        <v>0</v>
      </c>
      <c r="I64" s="677">
        <v>0</v>
      </c>
      <c r="J64" s="677">
        <f t="shared" si="3"/>
        <v>0</v>
      </c>
      <c r="K64" s="677">
        <v>0</v>
      </c>
      <c r="L64" s="677">
        <v>0</v>
      </c>
    </row>
    <row r="65" spans="1:12" x14ac:dyDescent="0.2">
      <c r="A65" s="160">
        <v>53</v>
      </c>
      <c r="B65" s="166" t="s">
        <v>146</v>
      </c>
      <c r="C65" s="577" t="s">
        <v>147</v>
      </c>
      <c r="D65" s="677">
        <f t="shared" si="1"/>
        <v>0</v>
      </c>
      <c r="E65" s="677">
        <v>0</v>
      </c>
      <c r="F65" s="677">
        <f t="shared" si="2"/>
        <v>0</v>
      </c>
      <c r="G65" s="677">
        <v>0</v>
      </c>
      <c r="H65" s="677">
        <v>0</v>
      </c>
      <c r="I65" s="677">
        <v>0</v>
      </c>
      <c r="J65" s="677">
        <f t="shared" si="3"/>
        <v>0</v>
      </c>
      <c r="K65" s="677">
        <v>0</v>
      </c>
      <c r="L65" s="677">
        <v>0</v>
      </c>
    </row>
    <row r="66" spans="1:12" x14ac:dyDescent="0.2">
      <c r="A66" s="160">
        <v>54</v>
      </c>
      <c r="B66" s="166" t="s">
        <v>148</v>
      </c>
      <c r="C66" s="577" t="s">
        <v>149</v>
      </c>
      <c r="D66" s="677">
        <f t="shared" si="1"/>
        <v>0</v>
      </c>
      <c r="E66" s="677">
        <v>0</v>
      </c>
      <c r="F66" s="677">
        <f t="shared" si="2"/>
        <v>0</v>
      </c>
      <c r="G66" s="677">
        <v>0</v>
      </c>
      <c r="H66" s="677">
        <v>0</v>
      </c>
      <c r="I66" s="677">
        <v>0</v>
      </c>
      <c r="J66" s="677">
        <f t="shared" si="3"/>
        <v>0</v>
      </c>
      <c r="K66" s="677">
        <v>0</v>
      </c>
      <c r="L66" s="677">
        <v>0</v>
      </c>
    </row>
    <row r="67" spans="1:12" x14ac:dyDescent="0.2">
      <c r="A67" s="160">
        <v>55</v>
      </c>
      <c r="B67" s="51" t="s">
        <v>150</v>
      </c>
      <c r="C67" s="577" t="s">
        <v>151</v>
      </c>
      <c r="D67" s="677">
        <f t="shared" si="1"/>
        <v>0</v>
      </c>
      <c r="E67" s="677">
        <v>0</v>
      </c>
      <c r="F67" s="677">
        <f t="shared" si="2"/>
        <v>0</v>
      </c>
      <c r="G67" s="677">
        <v>0</v>
      </c>
      <c r="H67" s="677">
        <v>0</v>
      </c>
      <c r="I67" s="677">
        <v>0</v>
      </c>
      <c r="J67" s="677">
        <f t="shared" si="3"/>
        <v>0</v>
      </c>
      <c r="K67" s="677">
        <v>0</v>
      </c>
      <c r="L67" s="677">
        <v>0</v>
      </c>
    </row>
    <row r="68" spans="1:12" x14ac:dyDescent="0.2">
      <c r="A68" s="160">
        <v>56</v>
      </c>
      <c r="B68" s="51" t="s">
        <v>154</v>
      </c>
      <c r="C68" s="577" t="s">
        <v>155</v>
      </c>
      <c r="D68" s="677">
        <f t="shared" si="1"/>
        <v>0</v>
      </c>
      <c r="E68" s="677">
        <v>0</v>
      </c>
      <c r="F68" s="677">
        <f t="shared" si="2"/>
        <v>0</v>
      </c>
      <c r="G68" s="677">
        <v>0</v>
      </c>
      <c r="H68" s="677">
        <v>0</v>
      </c>
      <c r="I68" s="677">
        <v>0</v>
      </c>
      <c r="J68" s="677">
        <f t="shared" si="3"/>
        <v>0</v>
      </c>
      <c r="K68" s="677">
        <v>0</v>
      </c>
      <c r="L68" s="677">
        <v>0</v>
      </c>
    </row>
    <row r="69" spans="1:12" x14ac:dyDescent="0.2">
      <c r="A69" s="160">
        <v>57</v>
      </c>
      <c r="B69" s="48" t="s">
        <v>158</v>
      </c>
      <c r="C69" s="577" t="s">
        <v>159</v>
      </c>
      <c r="D69" s="677">
        <f t="shared" si="1"/>
        <v>0</v>
      </c>
      <c r="E69" s="677">
        <v>0</v>
      </c>
      <c r="F69" s="677">
        <f t="shared" si="2"/>
        <v>0</v>
      </c>
      <c r="G69" s="677">
        <v>0</v>
      </c>
      <c r="H69" s="677">
        <v>0</v>
      </c>
      <c r="I69" s="677">
        <v>0</v>
      </c>
      <c r="J69" s="677">
        <f t="shared" si="3"/>
        <v>0</v>
      </c>
      <c r="K69" s="677">
        <v>0</v>
      </c>
      <c r="L69" s="677">
        <v>0</v>
      </c>
    </row>
    <row r="70" spans="1:12" x14ac:dyDescent="0.2">
      <c r="A70" s="160">
        <v>58</v>
      </c>
      <c r="B70" s="48" t="s">
        <v>160</v>
      </c>
      <c r="C70" s="577" t="s">
        <v>161</v>
      </c>
      <c r="D70" s="677">
        <f t="shared" si="1"/>
        <v>0</v>
      </c>
      <c r="E70" s="677">
        <v>0</v>
      </c>
      <c r="F70" s="677">
        <f t="shared" si="2"/>
        <v>0</v>
      </c>
      <c r="G70" s="677">
        <v>0</v>
      </c>
      <c r="H70" s="677">
        <v>0</v>
      </c>
      <c r="I70" s="677">
        <v>0</v>
      </c>
      <c r="J70" s="677">
        <f t="shared" si="3"/>
        <v>0</v>
      </c>
      <c r="K70" s="677">
        <v>0</v>
      </c>
      <c r="L70" s="677">
        <v>0</v>
      </c>
    </row>
    <row r="71" spans="1:12" x14ac:dyDescent="0.2">
      <c r="A71" s="160">
        <v>59</v>
      </c>
      <c r="B71" s="51" t="s">
        <v>162</v>
      </c>
      <c r="C71" s="577" t="s">
        <v>163</v>
      </c>
      <c r="D71" s="677">
        <f t="shared" si="1"/>
        <v>0</v>
      </c>
      <c r="E71" s="677">
        <v>0</v>
      </c>
      <c r="F71" s="677">
        <f t="shared" si="2"/>
        <v>0</v>
      </c>
      <c r="G71" s="677">
        <v>0</v>
      </c>
      <c r="H71" s="677">
        <v>0</v>
      </c>
      <c r="I71" s="677">
        <v>0</v>
      </c>
      <c r="J71" s="677">
        <f t="shared" si="3"/>
        <v>0</v>
      </c>
      <c r="K71" s="677">
        <v>0</v>
      </c>
      <c r="L71" s="677">
        <v>0</v>
      </c>
    </row>
    <row r="72" spans="1:12" x14ac:dyDescent="0.2">
      <c r="A72" s="160">
        <v>60</v>
      </c>
      <c r="B72" s="51" t="s">
        <v>164</v>
      </c>
      <c r="C72" s="577" t="s">
        <v>165</v>
      </c>
      <c r="D72" s="677">
        <f t="shared" si="1"/>
        <v>4414</v>
      </c>
      <c r="E72" s="677">
        <v>3374</v>
      </c>
      <c r="F72" s="677">
        <f t="shared" si="2"/>
        <v>5904</v>
      </c>
      <c r="G72" s="677">
        <v>2530</v>
      </c>
      <c r="H72" s="677">
        <v>3374</v>
      </c>
      <c r="I72" s="677">
        <v>1040</v>
      </c>
      <c r="J72" s="677">
        <f t="shared" si="3"/>
        <v>1040</v>
      </c>
      <c r="K72" s="677">
        <v>0</v>
      </c>
      <c r="L72" s="677">
        <v>1040</v>
      </c>
    </row>
    <row r="73" spans="1:12" x14ac:dyDescent="0.2">
      <c r="A73" s="160">
        <v>61</v>
      </c>
      <c r="B73" s="51" t="s">
        <v>166</v>
      </c>
      <c r="C73" s="577" t="s">
        <v>167</v>
      </c>
      <c r="D73" s="677">
        <f t="shared" si="1"/>
        <v>0</v>
      </c>
      <c r="E73" s="677">
        <v>0</v>
      </c>
      <c r="F73" s="677">
        <f t="shared" si="2"/>
        <v>0</v>
      </c>
      <c r="G73" s="677">
        <v>0</v>
      </c>
      <c r="H73" s="677">
        <v>0</v>
      </c>
      <c r="I73" s="677">
        <v>0</v>
      </c>
      <c r="J73" s="677">
        <f t="shared" si="3"/>
        <v>0</v>
      </c>
      <c r="K73" s="677">
        <v>0</v>
      </c>
      <c r="L73" s="677">
        <v>0</v>
      </c>
    </row>
    <row r="74" spans="1:12" ht="24" x14ac:dyDescent="0.2">
      <c r="A74" s="894">
        <v>62</v>
      </c>
      <c r="B74" s="48" t="s">
        <v>170</v>
      </c>
      <c r="C74" s="56" t="s">
        <v>770</v>
      </c>
      <c r="D74" s="677">
        <f t="shared" si="1"/>
        <v>0</v>
      </c>
      <c r="E74" s="677">
        <v>0</v>
      </c>
      <c r="F74" s="677">
        <f t="shared" si="2"/>
        <v>0</v>
      </c>
      <c r="G74" s="677">
        <v>0</v>
      </c>
      <c r="H74" s="677">
        <v>0</v>
      </c>
      <c r="I74" s="677">
        <v>0</v>
      </c>
      <c r="J74" s="677">
        <f t="shared" si="3"/>
        <v>0</v>
      </c>
      <c r="K74" s="677">
        <v>0</v>
      </c>
      <c r="L74" s="677">
        <v>0</v>
      </c>
    </row>
    <row r="75" spans="1:12" x14ac:dyDescent="0.2">
      <c r="A75" s="895"/>
      <c r="B75" s="51" t="s">
        <v>168</v>
      </c>
      <c r="C75" s="49" t="s">
        <v>169</v>
      </c>
      <c r="D75" s="677">
        <f t="shared" si="1"/>
        <v>0</v>
      </c>
      <c r="E75" s="677">
        <v>0</v>
      </c>
      <c r="F75" s="677">
        <f t="shared" si="2"/>
        <v>0</v>
      </c>
      <c r="G75" s="677">
        <v>0</v>
      </c>
      <c r="H75" s="677">
        <v>0</v>
      </c>
      <c r="I75" s="677">
        <v>0</v>
      </c>
      <c r="J75" s="677">
        <f t="shared" si="3"/>
        <v>0</v>
      </c>
      <c r="K75" s="677">
        <v>0</v>
      </c>
      <c r="L75" s="677">
        <v>0</v>
      </c>
    </row>
    <row r="76" spans="1:12" x14ac:dyDescent="0.2">
      <c r="A76" s="896"/>
      <c r="B76" s="51" t="s">
        <v>174</v>
      </c>
      <c r="C76" s="49" t="s">
        <v>175</v>
      </c>
      <c r="D76" s="677">
        <f t="shared" si="1"/>
        <v>0</v>
      </c>
      <c r="E76" s="677">
        <v>0</v>
      </c>
      <c r="F76" s="677">
        <f t="shared" si="2"/>
        <v>0</v>
      </c>
      <c r="G76" s="677">
        <v>0</v>
      </c>
      <c r="H76" s="677">
        <v>0</v>
      </c>
      <c r="I76" s="677">
        <v>0</v>
      </c>
      <c r="J76" s="677">
        <f t="shared" si="3"/>
        <v>0</v>
      </c>
      <c r="K76" s="677">
        <v>0</v>
      </c>
      <c r="L76" s="677">
        <v>0</v>
      </c>
    </row>
    <row r="77" spans="1:12" ht="24" x14ac:dyDescent="0.2">
      <c r="A77" s="894">
        <v>63</v>
      </c>
      <c r="B77" s="617" t="s">
        <v>176</v>
      </c>
      <c r="C77" s="56" t="s">
        <v>773</v>
      </c>
      <c r="D77" s="677">
        <f t="shared" ref="D77:D140" si="4">E77+I77</f>
        <v>0</v>
      </c>
      <c r="E77" s="677">
        <v>0</v>
      </c>
      <c r="F77" s="677">
        <f t="shared" ref="F77:F140" si="5">G77+H77</f>
        <v>0</v>
      </c>
      <c r="G77" s="677">
        <v>0</v>
      </c>
      <c r="H77" s="677">
        <v>0</v>
      </c>
      <c r="I77" s="677">
        <v>0</v>
      </c>
      <c r="J77" s="677">
        <f t="shared" ref="J77:J140" si="6">K77+L77</f>
        <v>0</v>
      </c>
      <c r="K77" s="677">
        <v>0</v>
      </c>
      <c r="L77" s="677">
        <v>0</v>
      </c>
    </row>
    <row r="78" spans="1:12" x14ac:dyDescent="0.2">
      <c r="A78" s="895"/>
      <c r="B78" s="51" t="s">
        <v>172</v>
      </c>
      <c r="C78" s="49" t="s">
        <v>173</v>
      </c>
      <c r="D78" s="677">
        <f t="shared" si="4"/>
        <v>0</v>
      </c>
      <c r="E78" s="677">
        <v>0</v>
      </c>
      <c r="F78" s="677">
        <f t="shared" si="5"/>
        <v>0</v>
      </c>
      <c r="G78" s="677">
        <v>0</v>
      </c>
      <c r="H78" s="677">
        <v>0</v>
      </c>
      <c r="I78" s="677">
        <v>0</v>
      </c>
      <c r="J78" s="677">
        <f t="shared" si="6"/>
        <v>0</v>
      </c>
      <c r="K78" s="677">
        <v>0</v>
      </c>
      <c r="L78" s="677">
        <v>0</v>
      </c>
    </row>
    <row r="79" spans="1:12" x14ac:dyDescent="0.2">
      <c r="A79" s="895"/>
      <c r="B79" s="48" t="s">
        <v>178</v>
      </c>
      <c r="C79" s="49" t="s">
        <v>179</v>
      </c>
      <c r="D79" s="677">
        <f t="shared" si="4"/>
        <v>0</v>
      </c>
      <c r="E79" s="677">
        <v>0</v>
      </c>
      <c r="F79" s="677">
        <f t="shared" si="5"/>
        <v>0</v>
      </c>
      <c r="G79" s="677">
        <v>0</v>
      </c>
      <c r="H79" s="677">
        <v>0</v>
      </c>
      <c r="I79" s="677">
        <v>0</v>
      </c>
      <c r="J79" s="677">
        <f t="shared" si="6"/>
        <v>0</v>
      </c>
      <c r="K79" s="677">
        <v>0</v>
      </c>
      <c r="L79" s="677">
        <v>0</v>
      </c>
    </row>
    <row r="80" spans="1:12" x14ac:dyDescent="0.2">
      <c r="A80" s="896"/>
      <c r="B80" s="48" t="s">
        <v>180</v>
      </c>
      <c r="C80" s="49" t="s">
        <v>181</v>
      </c>
      <c r="D80" s="677">
        <f t="shared" si="4"/>
        <v>0</v>
      </c>
      <c r="E80" s="677">
        <v>0</v>
      </c>
      <c r="F80" s="677">
        <f t="shared" si="5"/>
        <v>0</v>
      </c>
      <c r="G80" s="677">
        <v>0</v>
      </c>
      <c r="H80" s="677">
        <v>0</v>
      </c>
      <c r="I80" s="677">
        <v>0</v>
      </c>
      <c r="J80" s="677">
        <f t="shared" si="6"/>
        <v>0</v>
      </c>
      <c r="K80" s="677">
        <v>0</v>
      </c>
      <c r="L80" s="677">
        <v>0</v>
      </c>
    </row>
    <row r="81" spans="1:12" x14ac:dyDescent="0.2">
      <c r="A81" s="160">
        <v>64</v>
      </c>
      <c r="B81" s="166" t="s">
        <v>182</v>
      </c>
      <c r="C81" s="577" t="s">
        <v>183</v>
      </c>
      <c r="D81" s="677">
        <f t="shared" si="4"/>
        <v>5562</v>
      </c>
      <c r="E81" s="677">
        <v>4389</v>
      </c>
      <c r="F81" s="677">
        <f t="shared" si="5"/>
        <v>7681</v>
      </c>
      <c r="G81" s="677">
        <v>3292</v>
      </c>
      <c r="H81" s="677">
        <v>4389</v>
      </c>
      <c r="I81" s="677">
        <v>1173</v>
      </c>
      <c r="J81" s="677">
        <f t="shared" si="6"/>
        <v>1173</v>
      </c>
      <c r="K81" s="677">
        <v>0</v>
      </c>
      <c r="L81" s="677">
        <v>1173</v>
      </c>
    </row>
    <row r="82" spans="1:12" x14ac:dyDescent="0.2">
      <c r="A82" s="160">
        <v>65</v>
      </c>
      <c r="B82" s="48" t="s">
        <v>184</v>
      </c>
      <c r="C82" s="577" t="s">
        <v>185</v>
      </c>
      <c r="D82" s="677">
        <f t="shared" si="4"/>
        <v>6175</v>
      </c>
      <c r="E82" s="677">
        <v>4935</v>
      </c>
      <c r="F82" s="677">
        <f t="shared" si="5"/>
        <v>8636</v>
      </c>
      <c r="G82" s="677">
        <v>3701</v>
      </c>
      <c r="H82" s="677">
        <v>4935</v>
      </c>
      <c r="I82" s="677">
        <v>1240</v>
      </c>
      <c r="J82" s="677">
        <f t="shared" si="6"/>
        <v>1240</v>
      </c>
      <c r="K82" s="677">
        <v>0</v>
      </c>
      <c r="L82" s="677">
        <v>1240</v>
      </c>
    </row>
    <row r="83" spans="1:12" x14ac:dyDescent="0.2">
      <c r="A83" s="160">
        <v>66</v>
      </c>
      <c r="B83" s="166" t="s">
        <v>186</v>
      </c>
      <c r="C83" s="577" t="s">
        <v>187</v>
      </c>
      <c r="D83" s="677">
        <f t="shared" si="4"/>
        <v>5485</v>
      </c>
      <c r="E83" s="677">
        <v>4338</v>
      </c>
      <c r="F83" s="677">
        <f t="shared" si="5"/>
        <v>7591</v>
      </c>
      <c r="G83" s="677">
        <v>3253</v>
      </c>
      <c r="H83" s="677">
        <v>4338</v>
      </c>
      <c r="I83" s="677">
        <v>1147</v>
      </c>
      <c r="J83" s="677">
        <f t="shared" si="6"/>
        <v>1147</v>
      </c>
      <c r="K83" s="677">
        <v>0</v>
      </c>
      <c r="L83" s="677">
        <v>1147</v>
      </c>
    </row>
    <row r="84" spans="1:12" x14ac:dyDescent="0.2">
      <c r="A84" s="894">
        <v>67</v>
      </c>
      <c r="B84" s="617" t="s">
        <v>188</v>
      </c>
      <c r="C84" s="56" t="s">
        <v>777</v>
      </c>
      <c r="D84" s="677">
        <f t="shared" si="4"/>
        <v>0</v>
      </c>
      <c r="E84" s="677">
        <v>0</v>
      </c>
      <c r="F84" s="677">
        <f t="shared" si="5"/>
        <v>0</v>
      </c>
      <c r="G84" s="677">
        <v>0</v>
      </c>
      <c r="H84" s="677">
        <v>0</v>
      </c>
      <c r="I84" s="677">
        <v>0</v>
      </c>
      <c r="J84" s="677">
        <f t="shared" si="6"/>
        <v>0</v>
      </c>
      <c r="K84" s="677">
        <v>0</v>
      </c>
      <c r="L84" s="677">
        <v>0</v>
      </c>
    </row>
    <row r="85" spans="1:12" x14ac:dyDescent="0.2">
      <c r="A85" s="896"/>
      <c r="B85" s="166" t="s">
        <v>156</v>
      </c>
      <c r="C85" s="49" t="s">
        <v>157</v>
      </c>
      <c r="D85" s="677">
        <f t="shared" si="4"/>
        <v>0</v>
      </c>
      <c r="E85" s="677">
        <v>0</v>
      </c>
      <c r="F85" s="677">
        <f t="shared" si="5"/>
        <v>0</v>
      </c>
      <c r="G85" s="677">
        <v>0</v>
      </c>
      <c r="H85" s="677">
        <v>0</v>
      </c>
      <c r="I85" s="677">
        <v>0</v>
      </c>
      <c r="J85" s="677">
        <f t="shared" si="6"/>
        <v>0</v>
      </c>
      <c r="K85" s="677">
        <v>0</v>
      </c>
      <c r="L85" s="677">
        <v>0</v>
      </c>
    </row>
    <row r="86" spans="1:12" x14ac:dyDescent="0.2">
      <c r="A86" s="160">
        <v>68</v>
      </c>
      <c r="B86" s="48" t="s">
        <v>190</v>
      </c>
      <c r="C86" s="577" t="s">
        <v>191</v>
      </c>
      <c r="D86" s="677">
        <f t="shared" si="4"/>
        <v>7325</v>
      </c>
      <c r="E86" s="677">
        <v>5780</v>
      </c>
      <c r="F86" s="677">
        <f t="shared" si="5"/>
        <v>10115</v>
      </c>
      <c r="G86" s="677">
        <v>4335</v>
      </c>
      <c r="H86" s="677">
        <v>5780</v>
      </c>
      <c r="I86" s="677">
        <v>1545</v>
      </c>
      <c r="J86" s="677">
        <f t="shared" si="6"/>
        <v>1545</v>
      </c>
      <c r="K86" s="677">
        <v>0</v>
      </c>
      <c r="L86" s="677">
        <v>1545</v>
      </c>
    </row>
    <row r="87" spans="1:12" x14ac:dyDescent="0.2">
      <c r="A87" s="894">
        <v>69</v>
      </c>
      <c r="B87" s="617" t="s">
        <v>192</v>
      </c>
      <c r="C87" s="56" t="s">
        <v>772</v>
      </c>
      <c r="D87" s="677">
        <f t="shared" si="4"/>
        <v>0</v>
      </c>
      <c r="E87" s="677">
        <v>0</v>
      </c>
      <c r="F87" s="677">
        <f t="shared" si="5"/>
        <v>0</v>
      </c>
      <c r="G87" s="677">
        <v>0</v>
      </c>
      <c r="H87" s="677">
        <v>0</v>
      </c>
      <c r="I87" s="677">
        <v>0</v>
      </c>
      <c r="J87" s="677">
        <f t="shared" si="6"/>
        <v>0</v>
      </c>
      <c r="K87" s="677">
        <v>0</v>
      </c>
      <c r="L87" s="677">
        <v>0</v>
      </c>
    </row>
    <row r="88" spans="1:12" x14ac:dyDescent="0.2">
      <c r="A88" s="896"/>
      <c r="B88" s="48" t="s">
        <v>152</v>
      </c>
      <c r="C88" s="49" t="s">
        <v>153</v>
      </c>
      <c r="D88" s="677">
        <f t="shared" si="4"/>
        <v>0</v>
      </c>
      <c r="E88" s="677">
        <v>0</v>
      </c>
      <c r="F88" s="677">
        <f t="shared" si="5"/>
        <v>0</v>
      </c>
      <c r="G88" s="677">
        <v>0</v>
      </c>
      <c r="H88" s="677">
        <v>0</v>
      </c>
      <c r="I88" s="677">
        <v>0</v>
      </c>
      <c r="J88" s="677">
        <f t="shared" si="6"/>
        <v>0</v>
      </c>
      <c r="K88" s="677">
        <v>0</v>
      </c>
      <c r="L88" s="677">
        <v>0</v>
      </c>
    </row>
    <row r="89" spans="1:12" x14ac:dyDescent="0.2">
      <c r="A89" s="160">
        <v>70</v>
      </c>
      <c r="B89" s="48" t="s">
        <v>194</v>
      </c>
      <c r="C89" s="577" t="s">
        <v>195</v>
      </c>
      <c r="D89" s="677">
        <f t="shared" si="4"/>
        <v>22153</v>
      </c>
      <c r="E89" s="677">
        <v>16043</v>
      </c>
      <c r="F89" s="677">
        <f t="shared" si="5"/>
        <v>28075</v>
      </c>
      <c r="G89" s="677">
        <v>12032</v>
      </c>
      <c r="H89" s="677">
        <v>16043</v>
      </c>
      <c r="I89" s="677">
        <v>6110</v>
      </c>
      <c r="J89" s="677">
        <f t="shared" si="6"/>
        <v>6110</v>
      </c>
      <c r="K89" s="677">
        <v>1870</v>
      </c>
      <c r="L89" s="677">
        <v>4240</v>
      </c>
    </row>
    <row r="90" spans="1:12" x14ac:dyDescent="0.2">
      <c r="A90" s="160">
        <v>71</v>
      </c>
      <c r="B90" s="48" t="s">
        <v>196</v>
      </c>
      <c r="C90" s="577" t="s">
        <v>197</v>
      </c>
      <c r="D90" s="677">
        <f t="shared" si="4"/>
        <v>0</v>
      </c>
      <c r="E90" s="677">
        <v>0</v>
      </c>
      <c r="F90" s="677">
        <f t="shared" si="5"/>
        <v>0</v>
      </c>
      <c r="G90" s="677">
        <v>0</v>
      </c>
      <c r="H90" s="677">
        <v>0</v>
      </c>
      <c r="I90" s="677">
        <v>0</v>
      </c>
      <c r="J90" s="677">
        <f t="shared" si="6"/>
        <v>0</v>
      </c>
      <c r="K90" s="677">
        <v>0</v>
      </c>
      <c r="L90" s="677">
        <v>0</v>
      </c>
    </row>
    <row r="91" spans="1:12" x14ac:dyDescent="0.2">
      <c r="A91" s="160">
        <v>72</v>
      </c>
      <c r="B91" s="51" t="s">
        <v>30</v>
      </c>
      <c r="C91" s="577" t="s">
        <v>198</v>
      </c>
      <c r="D91" s="677">
        <f t="shared" si="4"/>
        <v>0</v>
      </c>
      <c r="E91" s="677">
        <v>0</v>
      </c>
      <c r="F91" s="677">
        <f t="shared" si="5"/>
        <v>0</v>
      </c>
      <c r="G91" s="677">
        <v>0</v>
      </c>
      <c r="H91" s="677">
        <v>0</v>
      </c>
      <c r="I91" s="677">
        <v>0</v>
      </c>
      <c r="J91" s="677">
        <f t="shared" si="6"/>
        <v>0</v>
      </c>
      <c r="K91" s="677">
        <v>0</v>
      </c>
      <c r="L91" s="677">
        <v>0</v>
      </c>
    </row>
    <row r="92" spans="1:12" x14ac:dyDescent="0.2">
      <c r="A92" s="933">
        <v>73</v>
      </c>
      <c r="B92" s="897" t="s">
        <v>199</v>
      </c>
      <c r="C92" s="579" t="s">
        <v>200</v>
      </c>
      <c r="D92" s="677">
        <f t="shared" si="4"/>
        <v>0</v>
      </c>
      <c r="E92" s="677">
        <v>0</v>
      </c>
      <c r="F92" s="677">
        <f t="shared" si="5"/>
        <v>0</v>
      </c>
      <c r="G92" s="677">
        <v>0</v>
      </c>
      <c r="H92" s="677">
        <v>0</v>
      </c>
      <c r="I92" s="677">
        <v>0</v>
      </c>
      <c r="J92" s="677">
        <f t="shared" si="6"/>
        <v>0</v>
      </c>
      <c r="K92" s="677">
        <v>0</v>
      </c>
      <c r="L92" s="677">
        <v>0</v>
      </c>
    </row>
    <row r="93" spans="1:12" ht="24" x14ac:dyDescent="0.2">
      <c r="A93" s="934"/>
      <c r="B93" s="898"/>
      <c r="C93" s="577" t="s">
        <v>201</v>
      </c>
      <c r="D93" s="677">
        <f t="shared" si="4"/>
        <v>0</v>
      </c>
      <c r="E93" s="677">
        <v>0</v>
      </c>
      <c r="F93" s="677">
        <f t="shared" si="5"/>
        <v>0</v>
      </c>
      <c r="G93" s="677">
        <v>0</v>
      </c>
      <c r="H93" s="677">
        <v>0</v>
      </c>
      <c r="I93" s="677">
        <v>0</v>
      </c>
      <c r="J93" s="677">
        <f t="shared" si="6"/>
        <v>0</v>
      </c>
      <c r="K93" s="677">
        <v>0</v>
      </c>
      <c r="L93" s="677">
        <v>0</v>
      </c>
    </row>
    <row r="94" spans="1:12" x14ac:dyDescent="0.2">
      <c r="A94" s="934"/>
      <c r="B94" s="898"/>
      <c r="C94" s="577" t="s">
        <v>202</v>
      </c>
      <c r="D94" s="677">
        <f t="shared" si="4"/>
        <v>0</v>
      </c>
      <c r="E94" s="677">
        <v>0</v>
      </c>
      <c r="F94" s="677">
        <f t="shared" si="5"/>
        <v>0</v>
      </c>
      <c r="G94" s="677">
        <v>0</v>
      </c>
      <c r="H94" s="677">
        <v>0</v>
      </c>
      <c r="I94" s="677">
        <v>0</v>
      </c>
      <c r="J94" s="677">
        <f t="shared" si="6"/>
        <v>0</v>
      </c>
      <c r="K94" s="677">
        <v>0</v>
      </c>
      <c r="L94" s="677">
        <v>0</v>
      </c>
    </row>
    <row r="95" spans="1:12" ht="24" x14ac:dyDescent="0.2">
      <c r="A95" s="935"/>
      <c r="B95" s="899"/>
      <c r="C95" s="580" t="s">
        <v>203</v>
      </c>
      <c r="D95" s="677">
        <f t="shared" si="4"/>
        <v>0</v>
      </c>
      <c r="E95" s="677">
        <v>0</v>
      </c>
      <c r="F95" s="677">
        <f t="shared" si="5"/>
        <v>0</v>
      </c>
      <c r="G95" s="677">
        <v>0</v>
      </c>
      <c r="H95" s="677">
        <v>0</v>
      </c>
      <c r="I95" s="677">
        <v>0</v>
      </c>
      <c r="J95" s="677">
        <f t="shared" si="6"/>
        <v>0</v>
      </c>
      <c r="K95" s="677">
        <v>0</v>
      </c>
      <c r="L95" s="677">
        <v>0</v>
      </c>
    </row>
    <row r="96" spans="1:12" x14ac:dyDescent="0.2">
      <c r="A96" s="160">
        <v>74</v>
      </c>
      <c r="B96" s="51" t="s">
        <v>204</v>
      </c>
      <c r="C96" s="577" t="s">
        <v>205</v>
      </c>
      <c r="D96" s="677">
        <f t="shared" si="4"/>
        <v>0</v>
      </c>
      <c r="E96" s="677">
        <v>0</v>
      </c>
      <c r="F96" s="677">
        <f t="shared" si="5"/>
        <v>0</v>
      </c>
      <c r="G96" s="677">
        <v>0</v>
      </c>
      <c r="H96" s="677">
        <v>0</v>
      </c>
      <c r="I96" s="677">
        <v>0</v>
      </c>
      <c r="J96" s="677">
        <f t="shared" si="6"/>
        <v>0</v>
      </c>
      <c r="K96" s="677">
        <v>0</v>
      </c>
      <c r="L96" s="677">
        <v>0</v>
      </c>
    </row>
    <row r="97" spans="1:12" x14ac:dyDescent="0.2">
      <c r="A97" s="160">
        <v>75</v>
      </c>
      <c r="B97" s="51" t="s">
        <v>206</v>
      </c>
      <c r="C97" s="577" t="s">
        <v>207</v>
      </c>
      <c r="D97" s="677">
        <f t="shared" si="4"/>
        <v>0</v>
      </c>
      <c r="E97" s="677">
        <v>0</v>
      </c>
      <c r="F97" s="677">
        <f t="shared" si="5"/>
        <v>0</v>
      </c>
      <c r="G97" s="677">
        <v>0</v>
      </c>
      <c r="H97" s="677">
        <v>0</v>
      </c>
      <c r="I97" s="677">
        <v>0</v>
      </c>
      <c r="J97" s="677">
        <f t="shared" si="6"/>
        <v>0</v>
      </c>
      <c r="K97" s="677">
        <v>0</v>
      </c>
      <c r="L97" s="677">
        <v>0</v>
      </c>
    </row>
    <row r="98" spans="1:12" x14ac:dyDescent="0.2">
      <c r="A98" s="160">
        <v>76</v>
      </c>
      <c r="B98" s="166" t="s">
        <v>208</v>
      </c>
      <c r="C98" s="577" t="s">
        <v>209</v>
      </c>
      <c r="D98" s="677">
        <f t="shared" si="4"/>
        <v>0</v>
      </c>
      <c r="E98" s="677">
        <v>0</v>
      </c>
      <c r="F98" s="677">
        <f t="shared" si="5"/>
        <v>0</v>
      </c>
      <c r="G98" s="677">
        <v>0</v>
      </c>
      <c r="H98" s="677">
        <v>0</v>
      </c>
      <c r="I98" s="677">
        <v>0</v>
      </c>
      <c r="J98" s="677">
        <f t="shared" si="6"/>
        <v>0</v>
      </c>
      <c r="K98" s="677">
        <v>0</v>
      </c>
      <c r="L98" s="677">
        <v>0</v>
      </c>
    </row>
    <row r="99" spans="1:12" x14ac:dyDescent="0.2">
      <c r="A99" s="160">
        <v>77</v>
      </c>
      <c r="B99" s="51" t="s">
        <v>210</v>
      </c>
      <c r="C99" s="577" t="s">
        <v>211</v>
      </c>
      <c r="D99" s="677">
        <f t="shared" si="4"/>
        <v>0</v>
      </c>
      <c r="E99" s="677">
        <v>0</v>
      </c>
      <c r="F99" s="677">
        <f t="shared" si="5"/>
        <v>0</v>
      </c>
      <c r="G99" s="677">
        <v>0</v>
      </c>
      <c r="H99" s="677">
        <v>0</v>
      </c>
      <c r="I99" s="677">
        <v>0</v>
      </c>
      <c r="J99" s="677">
        <f t="shared" si="6"/>
        <v>0</v>
      </c>
      <c r="K99" s="677">
        <v>0</v>
      </c>
      <c r="L99" s="677">
        <v>0</v>
      </c>
    </row>
    <row r="100" spans="1:12" x14ac:dyDescent="0.2">
      <c r="A100" s="160">
        <v>78</v>
      </c>
      <c r="B100" s="166" t="s">
        <v>212</v>
      </c>
      <c r="C100" s="577" t="s">
        <v>213</v>
      </c>
      <c r="D100" s="677">
        <f t="shared" si="4"/>
        <v>0</v>
      </c>
      <c r="E100" s="677">
        <v>0</v>
      </c>
      <c r="F100" s="677">
        <f t="shared" si="5"/>
        <v>0</v>
      </c>
      <c r="G100" s="677">
        <v>0</v>
      </c>
      <c r="H100" s="677">
        <v>0</v>
      </c>
      <c r="I100" s="677">
        <v>0</v>
      </c>
      <c r="J100" s="677">
        <f t="shared" si="6"/>
        <v>0</v>
      </c>
      <c r="K100" s="677">
        <v>0</v>
      </c>
      <c r="L100" s="677">
        <v>0</v>
      </c>
    </row>
    <row r="101" spans="1:12" x14ac:dyDescent="0.2">
      <c r="A101" s="160">
        <v>79</v>
      </c>
      <c r="B101" s="166" t="s">
        <v>214</v>
      </c>
      <c r="C101" s="577" t="s">
        <v>215</v>
      </c>
      <c r="D101" s="677">
        <f t="shared" si="4"/>
        <v>0</v>
      </c>
      <c r="E101" s="677">
        <v>0</v>
      </c>
      <c r="F101" s="677">
        <f t="shared" si="5"/>
        <v>0</v>
      </c>
      <c r="G101" s="677">
        <v>0</v>
      </c>
      <c r="H101" s="677">
        <v>0</v>
      </c>
      <c r="I101" s="677">
        <v>0</v>
      </c>
      <c r="J101" s="677">
        <f t="shared" si="6"/>
        <v>0</v>
      </c>
      <c r="K101" s="677">
        <v>0</v>
      </c>
      <c r="L101" s="677">
        <v>0</v>
      </c>
    </row>
    <row r="102" spans="1:12" x14ac:dyDescent="0.2">
      <c r="A102" s="160">
        <v>80</v>
      </c>
      <c r="B102" s="51" t="s">
        <v>216</v>
      </c>
      <c r="C102" s="577" t="s">
        <v>217</v>
      </c>
      <c r="D102" s="677">
        <f t="shared" si="4"/>
        <v>0</v>
      </c>
      <c r="E102" s="677">
        <v>0</v>
      </c>
      <c r="F102" s="677">
        <f t="shared" si="5"/>
        <v>0</v>
      </c>
      <c r="G102" s="677">
        <v>0</v>
      </c>
      <c r="H102" s="677">
        <v>0</v>
      </c>
      <c r="I102" s="677">
        <v>0</v>
      </c>
      <c r="J102" s="677">
        <f t="shared" si="6"/>
        <v>0</v>
      </c>
      <c r="K102" s="677">
        <v>0</v>
      </c>
      <c r="L102" s="677">
        <v>0</v>
      </c>
    </row>
    <row r="103" spans="1:12" x14ac:dyDescent="0.2">
      <c r="A103" s="160">
        <v>81</v>
      </c>
      <c r="B103" s="48" t="s">
        <v>218</v>
      </c>
      <c r="C103" s="577" t="s">
        <v>219</v>
      </c>
      <c r="D103" s="677">
        <f t="shared" si="4"/>
        <v>0</v>
      </c>
      <c r="E103" s="677">
        <v>0</v>
      </c>
      <c r="F103" s="677">
        <f t="shared" si="5"/>
        <v>0</v>
      </c>
      <c r="G103" s="677">
        <v>0</v>
      </c>
      <c r="H103" s="677">
        <v>0</v>
      </c>
      <c r="I103" s="677">
        <v>0</v>
      </c>
      <c r="J103" s="677">
        <f t="shared" si="6"/>
        <v>0</v>
      </c>
      <c r="K103" s="677">
        <v>0</v>
      </c>
      <c r="L103" s="677">
        <v>0</v>
      </c>
    </row>
    <row r="104" spans="1:12" x14ac:dyDescent="0.2">
      <c r="A104" s="160">
        <v>82</v>
      </c>
      <c r="B104" s="48" t="s">
        <v>220</v>
      </c>
      <c r="C104" s="577" t="s">
        <v>221</v>
      </c>
      <c r="D104" s="677">
        <f t="shared" si="4"/>
        <v>0</v>
      </c>
      <c r="E104" s="677">
        <v>0</v>
      </c>
      <c r="F104" s="677">
        <f t="shared" si="5"/>
        <v>0</v>
      </c>
      <c r="G104" s="677">
        <v>0</v>
      </c>
      <c r="H104" s="677">
        <v>0</v>
      </c>
      <c r="I104" s="677">
        <v>0</v>
      </c>
      <c r="J104" s="677">
        <f t="shared" si="6"/>
        <v>0</v>
      </c>
      <c r="K104" s="677">
        <v>0</v>
      </c>
      <c r="L104" s="677">
        <v>0</v>
      </c>
    </row>
    <row r="105" spans="1:12" x14ac:dyDescent="0.2">
      <c r="A105" s="160">
        <v>83</v>
      </c>
      <c r="B105" s="166" t="s">
        <v>222</v>
      </c>
      <c r="C105" s="577" t="s">
        <v>223</v>
      </c>
      <c r="D105" s="677">
        <f t="shared" si="4"/>
        <v>0</v>
      </c>
      <c r="E105" s="677">
        <v>0</v>
      </c>
      <c r="F105" s="677">
        <f t="shared" si="5"/>
        <v>0</v>
      </c>
      <c r="G105" s="677">
        <v>0</v>
      </c>
      <c r="H105" s="677">
        <v>0</v>
      </c>
      <c r="I105" s="677">
        <v>0</v>
      </c>
      <c r="J105" s="677">
        <f t="shared" si="6"/>
        <v>0</v>
      </c>
      <c r="K105" s="677">
        <v>0</v>
      </c>
      <c r="L105" s="677">
        <v>0</v>
      </c>
    </row>
    <row r="106" spans="1:12" x14ac:dyDescent="0.2">
      <c r="A106" s="160">
        <v>84</v>
      </c>
      <c r="B106" s="48" t="s">
        <v>224</v>
      </c>
      <c r="C106" s="577" t="s">
        <v>225</v>
      </c>
      <c r="D106" s="677">
        <f t="shared" si="4"/>
        <v>0</v>
      </c>
      <c r="E106" s="677">
        <v>0</v>
      </c>
      <c r="F106" s="677">
        <f t="shared" si="5"/>
        <v>0</v>
      </c>
      <c r="G106" s="677">
        <v>0</v>
      </c>
      <c r="H106" s="677">
        <v>0</v>
      </c>
      <c r="I106" s="677">
        <v>0</v>
      </c>
      <c r="J106" s="677">
        <f t="shared" si="6"/>
        <v>0</v>
      </c>
      <c r="K106" s="677">
        <v>0</v>
      </c>
      <c r="L106" s="677">
        <v>0</v>
      </c>
    </row>
    <row r="107" spans="1:12" x14ac:dyDescent="0.2">
      <c r="A107" s="160">
        <v>85</v>
      </c>
      <c r="B107" s="48" t="s">
        <v>226</v>
      </c>
      <c r="C107" s="577" t="s">
        <v>227</v>
      </c>
      <c r="D107" s="677">
        <f t="shared" si="4"/>
        <v>0</v>
      </c>
      <c r="E107" s="677">
        <v>0</v>
      </c>
      <c r="F107" s="677">
        <f t="shared" si="5"/>
        <v>0</v>
      </c>
      <c r="G107" s="677">
        <v>0</v>
      </c>
      <c r="H107" s="677">
        <v>0</v>
      </c>
      <c r="I107" s="677">
        <v>0</v>
      </c>
      <c r="J107" s="677">
        <f t="shared" si="6"/>
        <v>0</v>
      </c>
      <c r="K107" s="677">
        <v>0</v>
      </c>
      <c r="L107" s="677">
        <v>0</v>
      </c>
    </row>
    <row r="108" spans="1:12" x14ac:dyDescent="0.2">
      <c r="A108" s="160">
        <v>86</v>
      </c>
      <c r="B108" s="51" t="s">
        <v>32</v>
      </c>
      <c r="C108" s="577" t="s">
        <v>33</v>
      </c>
      <c r="D108" s="677">
        <f t="shared" si="4"/>
        <v>2988</v>
      </c>
      <c r="E108" s="677">
        <v>2358</v>
      </c>
      <c r="F108" s="677">
        <f t="shared" si="5"/>
        <v>4126</v>
      </c>
      <c r="G108" s="677">
        <v>1768</v>
      </c>
      <c r="H108" s="677">
        <v>2358</v>
      </c>
      <c r="I108" s="677">
        <v>630</v>
      </c>
      <c r="J108" s="677">
        <f t="shared" si="6"/>
        <v>630</v>
      </c>
      <c r="K108" s="677">
        <v>0</v>
      </c>
      <c r="L108" s="677">
        <v>630</v>
      </c>
    </row>
    <row r="109" spans="1:12" x14ac:dyDescent="0.2">
      <c r="A109" s="160">
        <v>87</v>
      </c>
      <c r="B109" s="166" t="s">
        <v>228</v>
      </c>
      <c r="C109" s="577" t="s">
        <v>229</v>
      </c>
      <c r="D109" s="677">
        <f t="shared" si="4"/>
        <v>0</v>
      </c>
      <c r="E109" s="677">
        <v>0</v>
      </c>
      <c r="F109" s="677">
        <f t="shared" si="5"/>
        <v>0</v>
      </c>
      <c r="G109" s="677">
        <v>0</v>
      </c>
      <c r="H109" s="677">
        <v>0</v>
      </c>
      <c r="I109" s="677">
        <v>0</v>
      </c>
      <c r="J109" s="677">
        <f t="shared" si="6"/>
        <v>0</v>
      </c>
      <c r="K109" s="677">
        <v>0</v>
      </c>
      <c r="L109" s="677">
        <v>0</v>
      </c>
    </row>
    <row r="110" spans="1:12" x14ac:dyDescent="0.2">
      <c r="A110" s="160">
        <v>88</v>
      </c>
      <c r="B110" s="48" t="s">
        <v>230</v>
      </c>
      <c r="C110" s="577" t="s">
        <v>231</v>
      </c>
      <c r="D110" s="677">
        <f t="shared" si="4"/>
        <v>0</v>
      </c>
      <c r="E110" s="677">
        <v>0</v>
      </c>
      <c r="F110" s="677">
        <f t="shared" si="5"/>
        <v>0</v>
      </c>
      <c r="G110" s="677">
        <v>0</v>
      </c>
      <c r="H110" s="677">
        <v>0</v>
      </c>
      <c r="I110" s="677">
        <v>0</v>
      </c>
      <c r="J110" s="677">
        <f t="shared" si="6"/>
        <v>0</v>
      </c>
      <c r="K110" s="677">
        <v>0</v>
      </c>
      <c r="L110" s="677">
        <v>0</v>
      </c>
    </row>
    <row r="111" spans="1:12" x14ac:dyDescent="0.2">
      <c r="A111" s="160">
        <v>89</v>
      </c>
      <c r="B111" s="48" t="s">
        <v>232</v>
      </c>
      <c r="C111" s="577" t="s">
        <v>233</v>
      </c>
      <c r="D111" s="677">
        <f t="shared" si="4"/>
        <v>0</v>
      </c>
      <c r="E111" s="677">
        <v>0</v>
      </c>
      <c r="F111" s="677">
        <f t="shared" si="5"/>
        <v>0</v>
      </c>
      <c r="G111" s="677">
        <v>0</v>
      </c>
      <c r="H111" s="677">
        <v>0</v>
      </c>
      <c r="I111" s="677">
        <v>0</v>
      </c>
      <c r="J111" s="677">
        <f t="shared" si="6"/>
        <v>0</v>
      </c>
      <c r="K111" s="677">
        <v>0</v>
      </c>
      <c r="L111" s="677">
        <v>0</v>
      </c>
    </row>
    <row r="112" spans="1:12" x14ac:dyDescent="0.2">
      <c r="A112" s="160">
        <v>90</v>
      </c>
      <c r="B112" s="48" t="s">
        <v>234</v>
      </c>
      <c r="C112" s="577" t="s">
        <v>235</v>
      </c>
      <c r="D112" s="677">
        <f t="shared" si="4"/>
        <v>0</v>
      </c>
      <c r="E112" s="677">
        <v>0</v>
      </c>
      <c r="F112" s="677">
        <f t="shared" si="5"/>
        <v>0</v>
      </c>
      <c r="G112" s="677">
        <v>0</v>
      </c>
      <c r="H112" s="677">
        <v>0</v>
      </c>
      <c r="I112" s="677">
        <v>0</v>
      </c>
      <c r="J112" s="677">
        <f t="shared" si="6"/>
        <v>0</v>
      </c>
      <c r="K112" s="677">
        <v>0</v>
      </c>
      <c r="L112" s="677">
        <v>0</v>
      </c>
    </row>
    <row r="113" spans="1:12" x14ac:dyDescent="0.2">
      <c r="A113" s="160">
        <v>91</v>
      </c>
      <c r="B113" s="166" t="s">
        <v>236</v>
      </c>
      <c r="C113" s="577" t="s">
        <v>237</v>
      </c>
      <c r="D113" s="677">
        <f t="shared" si="4"/>
        <v>0</v>
      </c>
      <c r="E113" s="677">
        <v>0</v>
      </c>
      <c r="F113" s="677">
        <f t="shared" si="5"/>
        <v>0</v>
      </c>
      <c r="G113" s="677">
        <v>0</v>
      </c>
      <c r="H113" s="677">
        <v>0</v>
      </c>
      <c r="I113" s="677">
        <v>0</v>
      </c>
      <c r="J113" s="677">
        <f t="shared" si="6"/>
        <v>0</v>
      </c>
      <c r="K113" s="677">
        <v>0</v>
      </c>
      <c r="L113" s="677">
        <v>0</v>
      </c>
    </row>
    <row r="114" spans="1:12" x14ac:dyDescent="0.2">
      <c r="A114" s="160">
        <v>92</v>
      </c>
      <c r="B114" s="166" t="s">
        <v>238</v>
      </c>
      <c r="C114" s="577" t="s">
        <v>239</v>
      </c>
      <c r="D114" s="677">
        <f t="shared" si="4"/>
        <v>0</v>
      </c>
      <c r="E114" s="677">
        <v>0</v>
      </c>
      <c r="F114" s="677">
        <f t="shared" si="5"/>
        <v>0</v>
      </c>
      <c r="G114" s="677">
        <v>0</v>
      </c>
      <c r="H114" s="677">
        <v>0</v>
      </c>
      <c r="I114" s="677">
        <v>0</v>
      </c>
      <c r="J114" s="677">
        <f t="shared" si="6"/>
        <v>0</v>
      </c>
      <c r="K114" s="677">
        <v>0</v>
      </c>
      <c r="L114" s="677">
        <v>0</v>
      </c>
    </row>
    <row r="115" spans="1:12" x14ac:dyDescent="0.2">
      <c r="A115" s="160">
        <v>93</v>
      </c>
      <c r="B115" s="166" t="s">
        <v>240</v>
      </c>
      <c r="C115" s="577" t="s">
        <v>241</v>
      </c>
      <c r="D115" s="677">
        <f t="shared" si="4"/>
        <v>0</v>
      </c>
      <c r="E115" s="677">
        <v>0</v>
      </c>
      <c r="F115" s="677">
        <f t="shared" si="5"/>
        <v>0</v>
      </c>
      <c r="G115" s="677">
        <v>0</v>
      </c>
      <c r="H115" s="677">
        <v>0</v>
      </c>
      <c r="I115" s="677">
        <v>0</v>
      </c>
      <c r="J115" s="677">
        <f t="shared" si="6"/>
        <v>0</v>
      </c>
      <c r="K115" s="677">
        <v>0</v>
      </c>
      <c r="L115" s="677">
        <v>0</v>
      </c>
    </row>
    <row r="116" spans="1:12" x14ac:dyDescent="0.2">
      <c r="A116" s="160">
        <v>94</v>
      </c>
      <c r="B116" s="166" t="s">
        <v>242</v>
      </c>
      <c r="C116" s="577" t="s">
        <v>243</v>
      </c>
      <c r="D116" s="677">
        <f t="shared" si="4"/>
        <v>0</v>
      </c>
      <c r="E116" s="677">
        <v>0</v>
      </c>
      <c r="F116" s="677">
        <f t="shared" si="5"/>
        <v>0</v>
      </c>
      <c r="G116" s="677">
        <v>0</v>
      </c>
      <c r="H116" s="677">
        <v>0</v>
      </c>
      <c r="I116" s="677">
        <v>0</v>
      </c>
      <c r="J116" s="677">
        <f t="shared" si="6"/>
        <v>0</v>
      </c>
      <c r="K116" s="677">
        <v>0</v>
      </c>
      <c r="L116" s="677">
        <v>0</v>
      </c>
    </row>
    <row r="117" spans="1:12" x14ac:dyDescent="0.2">
      <c r="A117" s="160">
        <v>95</v>
      </c>
      <c r="B117" s="166" t="s">
        <v>244</v>
      </c>
      <c r="C117" s="577" t="s">
        <v>245</v>
      </c>
      <c r="D117" s="677">
        <f t="shared" si="4"/>
        <v>0</v>
      </c>
      <c r="E117" s="677">
        <v>0</v>
      </c>
      <c r="F117" s="677">
        <f t="shared" si="5"/>
        <v>0</v>
      </c>
      <c r="G117" s="677">
        <v>0</v>
      </c>
      <c r="H117" s="677">
        <v>0</v>
      </c>
      <c r="I117" s="677">
        <v>0</v>
      </c>
      <c r="J117" s="677">
        <f t="shared" si="6"/>
        <v>0</v>
      </c>
      <c r="K117" s="677">
        <v>0</v>
      </c>
      <c r="L117" s="677">
        <v>0</v>
      </c>
    </row>
    <row r="118" spans="1:12" x14ac:dyDescent="0.2">
      <c r="A118" s="160">
        <v>96</v>
      </c>
      <c r="B118" s="162" t="s">
        <v>246</v>
      </c>
      <c r="C118" s="578" t="s">
        <v>247</v>
      </c>
      <c r="D118" s="677">
        <f t="shared" si="4"/>
        <v>0</v>
      </c>
      <c r="E118" s="677">
        <v>0</v>
      </c>
      <c r="F118" s="677">
        <f t="shared" si="5"/>
        <v>0</v>
      </c>
      <c r="G118" s="677">
        <v>0</v>
      </c>
      <c r="H118" s="677">
        <v>0</v>
      </c>
      <c r="I118" s="677">
        <v>0</v>
      </c>
      <c r="J118" s="677">
        <f t="shared" si="6"/>
        <v>0</v>
      </c>
      <c r="K118" s="677">
        <v>0</v>
      </c>
      <c r="L118" s="677">
        <v>0</v>
      </c>
    </row>
    <row r="119" spans="1:12" x14ac:dyDescent="0.2">
      <c r="A119" s="160">
        <v>97</v>
      </c>
      <c r="B119" s="51" t="s">
        <v>248</v>
      </c>
      <c r="C119" s="577" t="s">
        <v>249</v>
      </c>
      <c r="D119" s="677">
        <f t="shared" si="4"/>
        <v>0</v>
      </c>
      <c r="E119" s="677">
        <v>0</v>
      </c>
      <c r="F119" s="677">
        <f t="shared" si="5"/>
        <v>0</v>
      </c>
      <c r="G119" s="677">
        <v>0</v>
      </c>
      <c r="H119" s="677">
        <v>0</v>
      </c>
      <c r="I119" s="677">
        <v>0</v>
      </c>
      <c r="J119" s="677">
        <f t="shared" si="6"/>
        <v>0</v>
      </c>
      <c r="K119" s="677">
        <v>0</v>
      </c>
      <c r="L119" s="677">
        <v>0</v>
      </c>
    </row>
    <row r="120" spans="1:12" x14ac:dyDescent="0.2">
      <c r="A120" s="160">
        <v>98</v>
      </c>
      <c r="B120" s="166" t="s">
        <v>250</v>
      </c>
      <c r="C120" s="577" t="s">
        <v>251</v>
      </c>
      <c r="D120" s="677">
        <f t="shared" si="4"/>
        <v>0</v>
      </c>
      <c r="E120" s="677">
        <v>0</v>
      </c>
      <c r="F120" s="677">
        <f t="shared" si="5"/>
        <v>0</v>
      </c>
      <c r="G120" s="677">
        <v>0</v>
      </c>
      <c r="H120" s="677">
        <v>0</v>
      </c>
      <c r="I120" s="677">
        <v>0</v>
      </c>
      <c r="J120" s="677">
        <f t="shared" si="6"/>
        <v>0</v>
      </c>
      <c r="K120" s="677">
        <v>0</v>
      </c>
      <c r="L120" s="677">
        <v>0</v>
      </c>
    </row>
    <row r="121" spans="1:12" x14ac:dyDescent="0.2">
      <c r="A121" s="160">
        <v>99</v>
      </c>
      <c r="B121" s="48" t="s">
        <v>252</v>
      </c>
      <c r="C121" s="581" t="s">
        <v>253</v>
      </c>
      <c r="D121" s="677">
        <f t="shared" si="4"/>
        <v>0</v>
      </c>
      <c r="E121" s="677">
        <v>0</v>
      </c>
      <c r="F121" s="677">
        <f t="shared" si="5"/>
        <v>0</v>
      </c>
      <c r="G121" s="677">
        <v>0</v>
      </c>
      <c r="H121" s="677">
        <v>0</v>
      </c>
      <c r="I121" s="677">
        <v>0</v>
      </c>
      <c r="J121" s="677">
        <f t="shared" si="6"/>
        <v>0</v>
      </c>
      <c r="K121" s="677">
        <v>0</v>
      </c>
      <c r="L121" s="677">
        <v>0</v>
      </c>
    </row>
    <row r="122" spans="1:12" x14ac:dyDescent="0.2">
      <c r="A122" s="160">
        <v>100</v>
      </c>
      <c r="B122" s="166" t="s">
        <v>254</v>
      </c>
      <c r="C122" s="577" t="s">
        <v>255</v>
      </c>
      <c r="D122" s="677">
        <f t="shared" si="4"/>
        <v>0</v>
      </c>
      <c r="E122" s="677">
        <v>0</v>
      </c>
      <c r="F122" s="677">
        <f t="shared" si="5"/>
        <v>0</v>
      </c>
      <c r="G122" s="677">
        <v>0</v>
      </c>
      <c r="H122" s="677">
        <v>0</v>
      </c>
      <c r="I122" s="677">
        <v>0</v>
      </c>
      <c r="J122" s="677">
        <f t="shared" si="6"/>
        <v>0</v>
      </c>
      <c r="K122" s="677">
        <v>0</v>
      </c>
      <c r="L122" s="677">
        <v>0</v>
      </c>
    </row>
    <row r="123" spans="1:12" x14ac:dyDescent="0.2">
      <c r="A123" s="160">
        <v>101</v>
      </c>
      <c r="B123" s="51" t="s">
        <v>256</v>
      </c>
      <c r="C123" s="577" t="s">
        <v>257</v>
      </c>
      <c r="D123" s="677">
        <f t="shared" si="4"/>
        <v>0</v>
      </c>
      <c r="E123" s="677">
        <v>0</v>
      </c>
      <c r="F123" s="677">
        <f t="shared" si="5"/>
        <v>0</v>
      </c>
      <c r="G123" s="677">
        <v>0</v>
      </c>
      <c r="H123" s="677">
        <v>0</v>
      </c>
      <c r="I123" s="677">
        <v>0</v>
      </c>
      <c r="J123" s="677">
        <f t="shared" si="6"/>
        <v>0</v>
      </c>
      <c r="K123" s="677">
        <v>0</v>
      </c>
      <c r="L123" s="677">
        <v>0</v>
      </c>
    </row>
    <row r="124" spans="1:12" x14ac:dyDescent="0.2">
      <c r="A124" s="160">
        <v>102</v>
      </c>
      <c r="B124" s="48" t="s">
        <v>258</v>
      </c>
      <c r="C124" s="577" t="s">
        <v>259</v>
      </c>
      <c r="D124" s="677">
        <f t="shared" si="4"/>
        <v>0</v>
      </c>
      <c r="E124" s="677">
        <v>0</v>
      </c>
      <c r="F124" s="677">
        <f t="shared" si="5"/>
        <v>0</v>
      </c>
      <c r="G124" s="677">
        <v>0</v>
      </c>
      <c r="H124" s="677">
        <v>0</v>
      </c>
      <c r="I124" s="677">
        <v>0</v>
      </c>
      <c r="J124" s="677">
        <f t="shared" si="6"/>
        <v>0</v>
      </c>
      <c r="K124" s="677">
        <v>0</v>
      </c>
      <c r="L124" s="677">
        <v>0</v>
      </c>
    </row>
    <row r="125" spans="1:12" x14ac:dyDescent="0.2">
      <c r="A125" s="160">
        <v>103</v>
      </c>
      <c r="B125" s="51" t="s">
        <v>542</v>
      </c>
      <c r="C125" s="582" t="s">
        <v>543</v>
      </c>
      <c r="D125" s="677">
        <f t="shared" si="4"/>
        <v>0</v>
      </c>
      <c r="E125" s="677">
        <v>0</v>
      </c>
      <c r="F125" s="677">
        <f t="shared" si="5"/>
        <v>0</v>
      </c>
      <c r="G125" s="677">
        <v>0</v>
      </c>
      <c r="H125" s="677">
        <v>0</v>
      </c>
      <c r="I125" s="677">
        <v>0</v>
      </c>
      <c r="J125" s="677">
        <f t="shared" si="6"/>
        <v>0</v>
      </c>
      <c r="K125" s="677">
        <v>0</v>
      </c>
      <c r="L125" s="677">
        <v>0</v>
      </c>
    </row>
    <row r="126" spans="1:12" x14ac:dyDescent="0.2">
      <c r="A126" s="160">
        <v>104</v>
      </c>
      <c r="B126" s="51" t="s">
        <v>260</v>
      </c>
      <c r="C126" s="577" t="s">
        <v>261</v>
      </c>
      <c r="D126" s="677">
        <f t="shared" si="4"/>
        <v>0</v>
      </c>
      <c r="E126" s="677">
        <v>0</v>
      </c>
      <c r="F126" s="677">
        <f t="shared" si="5"/>
        <v>0</v>
      </c>
      <c r="G126" s="677">
        <v>0</v>
      </c>
      <c r="H126" s="677">
        <v>0</v>
      </c>
      <c r="I126" s="677">
        <v>0</v>
      </c>
      <c r="J126" s="677">
        <f t="shared" si="6"/>
        <v>0</v>
      </c>
      <c r="K126" s="677">
        <v>0</v>
      </c>
      <c r="L126" s="677">
        <v>0</v>
      </c>
    </row>
    <row r="127" spans="1:12" x14ac:dyDescent="0.2">
      <c r="A127" s="160">
        <v>105</v>
      </c>
      <c r="B127" s="166" t="s">
        <v>262</v>
      </c>
      <c r="C127" s="577" t="s">
        <v>263</v>
      </c>
      <c r="D127" s="677">
        <f t="shared" si="4"/>
        <v>0</v>
      </c>
      <c r="E127" s="677">
        <v>0</v>
      </c>
      <c r="F127" s="677">
        <f t="shared" si="5"/>
        <v>0</v>
      </c>
      <c r="G127" s="677">
        <v>0</v>
      </c>
      <c r="H127" s="677">
        <v>0</v>
      </c>
      <c r="I127" s="677">
        <v>0</v>
      </c>
      <c r="J127" s="677">
        <f t="shared" si="6"/>
        <v>0</v>
      </c>
      <c r="K127" s="677">
        <v>0</v>
      </c>
      <c r="L127" s="677">
        <v>0</v>
      </c>
    </row>
    <row r="128" spans="1:12" x14ac:dyDescent="0.2">
      <c r="A128" s="160">
        <v>106</v>
      </c>
      <c r="B128" s="166" t="s">
        <v>264</v>
      </c>
      <c r="C128" s="583" t="s">
        <v>265</v>
      </c>
      <c r="D128" s="677">
        <f t="shared" si="4"/>
        <v>0</v>
      </c>
      <c r="E128" s="677">
        <v>0</v>
      </c>
      <c r="F128" s="677">
        <f t="shared" si="5"/>
        <v>0</v>
      </c>
      <c r="G128" s="677">
        <v>0</v>
      </c>
      <c r="H128" s="677">
        <v>0</v>
      </c>
      <c r="I128" s="677">
        <v>0</v>
      </c>
      <c r="J128" s="677">
        <f t="shared" si="6"/>
        <v>0</v>
      </c>
      <c r="K128" s="677">
        <v>0</v>
      </c>
      <c r="L128" s="677">
        <v>0</v>
      </c>
    </row>
    <row r="129" spans="1:12" x14ac:dyDescent="0.2">
      <c r="A129" s="160">
        <v>107</v>
      </c>
      <c r="B129" s="166" t="s">
        <v>266</v>
      </c>
      <c r="C129" s="577" t="s">
        <v>267</v>
      </c>
      <c r="D129" s="677">
        <f t="shared" si="4"/>
        <v>0</v>
      </c>
      <c r="E129" s="677">
        <v>0</v>
      </c>
      <c r="F129" s="677">
        <f t="shared" si="5"/>
        <v>0</v>
      </c>
      <c r="G129" s="677">
        <v>0</v>
      </c>
      <c r="H129" s="677">
        <v>0</v>
      </c>
      <c r="I129" s="677">
        <v>0</v>
      </c>
      <c r="J129" s="677">
        <f t="shared" si="6"/>
        <v>0</v>
      </c>
      <c r="K129" s="677">
        <v>0</v>
      </c>
      <c r="L129" s="677">
        <v>0</v>
      </c>
    </row>
    <row r="130" spans="1:12" x14ac:dyDescent="0.2">
      <c r="A130" s="160">
        <v>108</v>
      </c>
      <c r="B130" s="166" t="s">
        <v>268</v>
      </c>
      <c r="C130" s="577" t="s">
        <v>269</v>
      </c>
      <c r="D130" s="677">
        <f t="shared" si="4"/>
        <v>0</v>
      </c>
      <c r="E130" s="677">
        <v>0</v>
      </c>
      <c r="F130" s="677">
        <f t="shared" si="5"/>
        <v>0</v>
      </c>
      <c r="G130" s="677">
        <v>0</v>
      </c>
      <c r="H130" s="677">
        <v>0</v>
      </c>
      <c r="I130" s="677">
        <v>0</v>
      </c>
      <c r="J130" s="677">
        <f t="shared" si="6"/>
        <v>0</v>
      </c>
      <c r="K130" s="677">
        <v>0</v>
      </c>
      <c r="L130" s="677">
        <v>0</v>
      </c>
    </row>
    <row r="131" spans="1:12" x14ac:dyDescent="0.2">
      <c r="A131" s="160">
        <v>109</v>
      </c>
      <c r="B131" s="166" t="s">
        <v>270</v>
      </c>
      <c r="C131" s="577" t="s">
        <v>271</v>
      </c>
      <c r="D131" s="677">
        <f t="shared" si="4"/>
        <v>0</v>
      </c>
      <c r="E131" s="677">
        <v>0</v>
      </c>
      <c r="F131" s="677">
        <f t="shared" si="5"/>
        <v>0</v>
      </c>
      <c r="G131" s="677">
        <v>0</v>
      </c>
      <c r="H131" s="677">
        <v>0</v>
      </c>
      <c r="I131" s="677">
        <v>0</v>
      </c>
      <c r="J131" s="677">
        <f t="shared" si="6"/>
        <v>0</v>
      </c>
      <c r="K131" s="677">
        <v>0</v>
      </c>
      <c r="L131" s="677">
        <v>0</v>
      </c>
    </row>
    <row r="132" spans="1:12" x14ac:dyDescent="0.2">
      <c r="A132" s="160">
        <v>110</v>
      </c>
      <c r="B132" s="48" t="s">
        <v>272</v>
      </c>
      <c r="C132" s="577" t="s">
        <v>273</v>
      </c>
      <c r="D132" s="677">
        <f t="shared" si="4"/>
        <v>0</v>
      </c>
      <c r="E132" s="677">
        <v>0</v>
      </c>
      <c r="F132" s="677">
        <f t="shared" si="5"/>
        <v>0</v>
      </c>
      <c r="G132" s="677">
        <v>0</v>
      </c>
      <c r="H132" s="677">
        <v>0</v>
      </c>
      <c r="I132" s="677">
        <v>0</v>
      </c>
      <c r="J132" s="677">
        <f t="shared" si="6"/>
        <v>0</v>
      </c>
      <c r="K132" s="677">
        <v>0</v>
      </c>
      <c r="L132" s="677">
        <v>0</v>
      </c>
    </row>
    <row r="133" spans="1:12" x14ac:dyDescent="0.2">
      <c r="A133" s="160">
        <v>111</v>
      </c>
      <c r="B133" s="48" t="s">
        <v>274</v>
      </c>
      <c r="C133" s="577" t="s">
        <v>275</v>
      </c>
      <c r="D133" s="677">
        <f t="shared" si="4"/>
        <v>0</v>
      </c>
      <c r="E133" s="677">
        <v>0</v>
      </c>
      <c r="F133" s="677">
        <f t="shared" si="5"/>
        <v>0</v>
      </c>
      <c r="G133" s="677">
        <v>0</v>
      </c>
      <c r="H133" s="677">
        <v>0</v>
      </c>
      <c r="I133" s="677">
        <v>0</v>
      </c>
      <c r="J133" s="677">
        <f t="shared" si="6"/>
        <v>0</v>
      </c>
      <c r="K133" s="677">
        <v>0</v>
      </c>
      <c r="L133" s="677">
        <v>0</v>
      </c>
    </row>
    <row r="134" spans="1:12" x14ac:dyDescent="0.2">
      <c r="A134" s="160">
        <v>112</v>
      </c>
      <c r="B134" s="48" t="s">
        <v>276</v>
      </c>
      <c r="C134" s="577" t="s">
        <v>277</v>
      </c>
      <c r="D134" s="677">
        <f t="shared" si="4"/>
        <v>0</v>
      </c>
      <c r="E134" s="677">
        <v>0</v>
      </c>
      <c r="F134" s="677">
        <f t="shared" si="5"/>
        <v>0</v>
      </c>
      <c r="G134" s="677">
        <v>0</v>
      </c>
      <c r="H134" s="677">
        <v>0</v>
      </c>
      <c r="I134" s="677">
        <v>0</v>
      </c>
      <c r="J134" s="677">
        <f t="shared" si="6"/>
        <v>0</v>
      </c>
      <c r="K134" s="677">
        <v>0</v>
      </c>
      <c r="L134" s="677">
        <v>0</v>
      </c>
    </row>
    <row r="135" spans="1:12" x14ac:dyDescent="0.2">
      <c r="A135" s="160">
        <v>113</v>
      </c>
      <c r="B135" s="166" t="s">
        <v>278</v>
      </c>
      <c r="C135" s="577" t="s">
        <v>279</v>
      </c>
      <c r="D135" s="677">
        <f t="shared" si="4"/>
        <v>0</v>
      </c>
      <c r="E135" s="677">
        <v>0</v>
      </c>
      <c r="F135" s="677">
        <f t="shared" si="5"/>
        <v>0</v>
      </c>
      <c r="G135" s="677">
        <v>0</v>
      </c>
      <c r="H135" s="677">
        <v>0</v>
      </c>
      <c r="I135" s="677">
        <v>0</v>
      </c>
      <c r="J135" s="677">
        <f t="shared" si="6"/>
        <v>0</v>
      </c>
      <c r="K135" s="677">
        <v>0</v>
      </c>
      <c r="L135" s="677">
        <v>0</v>
      </c>
    </row>
    <row r="136" spans="1:12" x14ac:dyDescent="0.2">
      <c r="A136" s="160">
        <v>114</v>
      </c>
      <c r="B136" s="166" t="s">
        <v>280</v>
      </c>
      <c r="C136" s="577" t="s">
        <v>281</v>
      </c>
      <c r="D136" s="677">
        <f t="shared" si="4"/>
        <v>0</v>
      </c>
      <c r="E136" s="677">
        <v>0</v>
      </c>
      <c r="F136" s="677">
        <f t="shared" si="5"/>
        <v>0</v>
      </c>
      <c r="G136" s="677">
        <v>0</v>
      </c>
      <c r="H136" s="677">
        <v>0</v>
      </c>
      <c r="I136" s="677">
        <v>0</v>
      </c>
      <c r="J136" s="677">
        <f t="shared" si="6"/>
        <v>0</v>
      </c>
      <c r="K136" s="677">
        <v>0</v>
      </c>
      <c r="L136" s="677">
        <v>0</v>
      </c>
    </row>
    <row r="137" spans="1:12" x14ac:dyDescent="0.2">
      <c r="A137" s="160">
        <v>115</v>
      </c>
      <c r="B137" s="166" t="s">
        <v>282</v>
      </c>
      <c r="C137" s="577" t="s">
        <v>768</v>
      </c>
      <c r="D137" s="677">
        <f t="shared" si="4"/>
        <v>0</v>
      </c>
      <c r="E137" s="677">
        <v>0</v>
      </c>
      <c r="F137" s="677">
        <f t="shared" si="5"/>
        <v>0</v>
      </c>
      <c r="G137" s="677">
        <v>0</v>
      </c>
      <c r="H137" s="677">
        <v>0</v>
      </c>
      <c r="I137" s="677">
        <v>0</v>
      </c>
      <c r="J137" s="677">
        <f t="shared" si="6"/>
        <v>0</v>
      </c>
      <c r="K137" s="677">
        <v>0</v>
      </c>
      <c r="L137" s="677">
        <v>0</v>
      </c>
    </row>
    <row r="138" spans="1:12" x14ac:dyDescent="0.2">
      <c r="A138" s="160">
        <v>116</v>
      </c>
      <c r="B138" s="48" t="s">
        <v>283</v>
      </c>
      <c r="C138" s="577" t="s">
        <v>284</v>
      </c>
      <c r="D138" s="677">
        <f t="shared" si="4"/>
        <v>0</v>
      </c>
      <c r="E138" s="677">
        <v>0</v>
      </c>
      <c r="F138" s="677">
        <f t="shared" si="5"/>
        <v>0</v>
      </c>
      <c r="G138" s="677">
        <v>0</v>
      </c>
      <c r="H138" s="677">
        <v>0</v>
      </c>
      <c r="I138" s="677">
        <v>0</v>
      </c>
      <c r="J138" s="677">
        <f t="shared" si="6"/>
        <v>0</v>
      </c>
      <c r="K138" s="677">
        <v>0</v>
      </c>
      <c r="L138" s="677">
        <v>0</v>
      </c>
    </row>
    <row r="139" spans="1:12" x14ac:dyDescent="0.2">
      <c r="A139" s="160">
        <v>117</v>
      </c>
      <c r="B139" s="51" t="s">
        <v>285</v>
      </c>
      <c r="C139" s="577" t="s">
        <v>726</v>
      </c>
      <c r="D139" s="677">
        <f t="shared" si="4"/>
        <v>0</v>
      </c>
      <c r="E139" s="677">
        <v>0</v>
      </c>
      <c r="F139" s="677">
        <f t="shared" si="5"/>
        <v>0</v>
      </c>
      <c r="G139" s="677">
        <v>0</v>
      </c>
      <c r="H139" s="677">
        <v>0</v>
      </c>
      <c r="I139" s="677">
        <v>0</v>
      </c>
      <c r="J139" s="677">
        <f t="shared" si="6"/>
        <v>0</v>
      </c>
      <c r="K139" s="677">
        <v>0</v>
      </c>
      <c r="L139" s="677">
        <v>0</v>
      </c>
    </row>
    <row r="140" spans="1:12" x14ac:dyDescent="0.2">
      <c r="A140" s="160">
        <v>118</v>
      </c>
      <c r="B140" s="166" t="s">
        <v>286</v>
      </c>
      <c r="C140" s="577" t="s">
        <v>287</v>
      </c>
      <c r="D140" s="677">
        <f t="shared" si="4"/>
        <v>0</v>
      </c>
      <c r="E140" s="677">
        <v>0</v>
      </c>
      <c r="F140" s="677">
        <f t="shared" si="5"/>
        <v>0</v>
      </c>
      <c r="G140" s="677">
        <v>0</v>
      </c>
      <c r="H140" s="677">
        <v>0</v>
      </c>
      <c r="I140" s="677">
        <v>0</v>
      </c>
      <c r="J140" s="677">
        <f t="shared" si="6"/>
        <v>0</v>
      </c>
      <c r="K140" s="677">
        <v>0</v>
      </c>
      <c r="L140" s="677">
        <v>0</v>
      </c>
    </row>
    <row r="141" spans="1:12" x14ac:dyDescent="0.2">
      <c r="A141" s="160">
        <v>119</v>
      </c>
      <c r="B141" s="48" t="s">
        <v>288</v>
      </c>
      <c r="C141" s="577" t="s">
        <v>289</v>
      </c>
      <c r="D141" s="677">
        <f t="shared" ref="D141:D149" si="7">E141+I141</f>
        <v>0</v>
      </c>
      <c r="E141" s="677">
        <v>0</v>
      </c>
      <c r="F141" s="677">
        <f t="shared" ref="F141:F149" si="8">G141+H141</f>
        <v>0</v>
      </c>
      <c r="G141" s="677">
        <v>0</v>
      </c>
      <c r="H141" s="677">
        <v>0</v>
      </c>
      <c r="I141" s="677">
        <v>0</v>
      </c>
      <c r="J141" s="677">
        <f t="shared" ref="J141:J149" si="9">K141+L141</f>
        <v>0</v>
      </c>
      <c r="K141" s="677">
        <v>0</v>
      </c>
      <c r="L141" s="677">
        <v>0</v>
      </c>
    </row>
    <row r="142" spans="1:12" x14ac:dyDescent="0.2">
      <c r="A142" s="160">
        <v>120</v>
      </c>
      <c r="B142" s="166" t="s">
        <v>290</v>
      </c>
      <c r="C142" s="577" t="s">
        <v>291</v>
      </c>
      <c r="D142" s="677">
        <f t="shared" si="7"/>
        <v>0</v>
      </c>
      <c r="E142" s="677">
        <v>0</v>
      </c>
      <c r="F142" s="677">
        <f t="shared" si="8"/>
        <v>0</v>
      </c>
      <c r="G142" s="677">
        <v>0</v>
      </c>
      <c r="H142" s="677">
        <v>0</v>
      </c>
      <c r="I142" s="677">
        <v>0</v>
      </c>
      <c r="J142" s="677">
        <f t="shared" si="9"/>
        <v>0</v>
      </c>
      <c r="K142" s="677">
        <v>0</v>
      </c>
      <c r="L142" s="677">
        <v>0</v>
      </c>
    </row>
    <row r="143" spans="1:12" x14ac:dyDescent="0.2">
      <c r="A143" s="160">
        <v>121</v>
      </c>
      <c r="B143" s="60" t="s">
        <v>292</v>
      </c>
      <c r="C143" s="584" t="s">
        <v>293</v>
      </c>
      <c r="D143" s="677">
        <f t="shared" si="7"/>
        <v>0</v>
      </c>
      <c r="E143" s="677">
        <v>0</v>
      </c>
      <c r="F143" s="677">
        <f t="shared" si="8"/>
        <v>0</v>
      </c>
      <c r="G143" s="677">
        <v>0</v>
      </c>
      <c r="H143" s="677">
        <v>0</v>
      </c>
      <c r="I143" s="677">
        <v>0</v>
      </c>
      <c r="J143" s="677">
        <f t="shared" si="9"/>
        <v>0</v>
      </c>
      <c r="K143" s="677">
        <v>0</v>
      </c>
      <c r="L143" s="677">
        <v>0</v>
      </c>
    </row>
    <row r="144" spans="1:12" x14ac:dyDescent="0.2">
      <c r="A144" s="160">
        <v>122</v>
      </c>
      <c r="B144" s="62" t="s">
        <v>294</v>
      </c>
      <c r="C144" s="585" t="s">
        <v>295</v>
      </c>
      <c r="D144" s="677">
        <f t="shared" si="7"/>
        <v>0</v>
      </c>
      <c r="E144" s="677">
        <v>0</v>
      </c>
      <c r="F144" s="677">
        <f t="shared" si="8"/>
        <v>0</v>
      </c>
      <c r="G144" s="677">
        <v>0</v>
      </c>
      <c r="H144" s="677">
        <v>0</v>
      </c>
      <c r="I144" s="677">
        <v>0</v>
      </c>
      <c r="J144" s="677">
        <f t="shared" si="9"/>
        <v>0</v>
      </c>
      <c r="K144" s="677">
        <v>0</v>
      </c>
      <c r="L144" s="677">
        <v>0</v>
      </c>
    </row>
    <row r="145" spans="1:12" ht="12.75" x14ac:dyDescent="0.2">
      <c r="A145" s="160">
        <v>123</v>
      </c>
      <c r="B145" s="63" t="s">
        <v>296</v>
      </c>
      <c r="C145" s="678" t="s">
        <v>460</v>
      </c>
      <c r="D145" s="677">
        <f t="shared" si="7"/>
        <v>0</v>
      </c>
      <c r="E145" s="677">
        <v>0</v>
      </c>
      <c r="F145" s="677">
        <f t="shared" si="8"/>
        <v>0</v>
      </c>
      <c r="G145" s="677">
        <v>0</v>
      </c>
      <c r="H145" s="677">
        <v>0</v>
      </c>
      <c r="I145" s="677">
        <v>0</v>
      </c>
      <c r="J145" s="677">
        <f t="shared" si="9"/>
        <v>0</v>
      </c>
      <c r="K145" s="677">
        <v>0</v>
      </c>
      <c r="L145" s="677">
        <v>0</v>
      </c>
    </row>
    <row r="146" spans="1:12" x14ac:dyDescent="0.2">
      <c r="A146" s="160">
        <v>124</v>
      </c>
      <c r="B146" s="160" t="s">
        <v>298</v>
      </c>
      <c r="C146" s="586" t="s">
        <v>299</v>
      </c>
      <c r="D146" s="677">
        <f t="shared" si="7"/>
        <v>0</v>
      </c>
      <c r="E146" s="677">
        <v>0</v>
      </c>
      <c r="F146" s="677">
        <f t="shared" si="8"/>
        <v>0</v>
      </c>
      <c r="G146" s="677">
        <v>0</v>
      </c>
      <c r="H146" s="677">
        <v>0</v>
      </c>
      <c r="I146" s="677">
        <v>0</v>
      </c>
      <c r="J146" s="677">
        <f t="shared" si="9"/>
        <v>0</v>
      </c>
      <c r="K146" s="677">
        <v>0</v>
      </c>
      <c r="L146" s="677">
        <v>0</v>
      </c>
    </row>
    <row r="147" spans="1:12" x14ac:dyDescent="0.2">
      <c r="A147" s="160">
        <v>125</v>
      </c>
      <c r="B147" s="74" t="s">
        <v>300</v>
      </c>
      <c r="C147" s="586" t="s">
        <v>301</v>
      </c>
      <c r="D147" s="677">
        <f t="shared" si="7"/>
        <v>0</v>
      </c>
      <c r="E147" s="677">
        <v>0</v>
      </c>
      <c r="F147" s="677">
        <f t="shared" si="8"/>
        <v>0</v>
      </c>
      <c r="G147" s="677">
        <v>0</v>
      </c>
      <c r="H147" s="677">
        <v>0</v>
      </c>
      <c r="I147" s="677">
        <v>0</v>
      </c>
      <c r="J147" s="677">
        <f t="shared" si="9"/>
        <v>0</v>
      </c>
      <c r="K147" s="677">
        <v>0</v>
      </c>
      <c r="L147" s="677">
        <v>0</v>
      </c>
    </row>
    <row r="148" spans="1:12" x14ac:dyDescent="0.2">
      <c r="A148" s="160">
        <v>126</v>
      </c>
      <c r="B148" s="74" t="s">
        <v>302</v>
      </c>
      <c r="C148" s="586" t="s">
        <v>303</v>
      </c>
      <c r="D148" s="677">
        <f t="shared" si="7"/>
        <v>0</v>
      </c>
      <c r="E148" s="677">
        <v>0</v>
      </c>
      <c r="F148" s="677">
        <f t="shared" si="8"/>
        <v>0</v>
      </c>
      <c r="G148" s="677">
        <v>0</v>
      </c>
      <c r="H148" s="677">
        <v>0</v>
      </c>
      <c r="I148" s="677">
        <v>0</v>
      </c>
      <c r="J148" s="677">
        <f t="shared" si="9"/>
        <v>0</v>
      </c>
      <c r="K148" s="677">
        <v>0</v>
      </c>
      <c r="L148" s="677">
        <v>0</v>
      </c>
    </row>
    <row r="149" spans="1:12" x14ac:dyDescent="0.2">
      <c r="A149" s="160">
        <v>127</v>
      </c>
      <c r="B149" s="74" t="s">
        <v>304</v>
      </c>
      <c r="C149" s="578" t="s">
        <v>305</v>
      </c>
      <c r="D149" s="677">
        <f t="shared" si="7"/>
        <v>0</v>
      </c>
      <c r="E149" s="677">
        <v>0</v>
      </c>
      <c r="F149" s="677">
        <f t="shared" si="8"/>
        <v>0</v>
      </c>
      <c r="G149" s="677">
        <v>0</v>
      </c>
      <c r="H149" s="677">
        <v>0</v>
      </c>
      <c r="I149" s="677">
        <v>0</v>
      </c>
      <c r="J149" s="677">
        <f t="shared" si="9"/>
        <v>0</v>
      </c>
      <c r="K149" s="677">
        <v>0</v>
      </c>
      <c r="L149" s="677">
        <v>0</v>
      </c>
    </row>
  </sheetData>
  <mergeCells count="28">
    <mergeCell ref="A11:C11"/>
    <mergeCell ref="A92:A95"/>
    <mergeCell ref="B92:B95"/>
    <mergeCell ref="I6:L6"/>
    <mergeCell ref="E7:E9"/>
    <mergeCell ref="F7:F9"/>
    <mergeCell ref="I7:I9"/>
    <mergeCell ref="J7:L7"/>
    <mergeCell ref="H8:H9"/>
    <mergeCell ref="J8:J9"/>
    <mergeCell ref="A36:A37"/>
    <mergeCell ref="A74:A76"/>
    <mergeCell ref="A77:A80"/>
    <mergeCell ref="A84:A85"/>
    <mergeCell ref="A87:A88"/>
    <mergeCell ref="G7:H7"/>
    <mergeCell ref="A1:L1"/>
    <mergeCell ref="A3:A9"/>
    <mergeCell ref="B3:B9"/>
    <mergeCell ref="C3:C9"/>
    <mergeCell ref="D3:L3"/>
    <mergeCell ref="D4:D9"/>
    <mergeCell ref="E4:L4"/>
    <mergeCell ref="E5:H5"/>
    <mergeCell ref="I5:L5"/>
    <mergeCell ref="F6:H6"/>
    <mergeCell ref="G8:G9"/>
    <mergeCell ref="K8:L8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zoomScale="90" zoomScaleNormal="90" workbookViewId="0">
      <pane xSplit="3" ySplit="11" topLeftCell="D127" activePane="bottomRight" state="frozen"/>
      <selection pane="topRight" activeCell="D1" sqref="D1"/>
      <selection pane="bottomLeft" activeCell="A12" sqref="A12"/>
      <selection pane="bottomRight" activeCell="O32" sqref="O32"/>
    </sheetView>
  </sheetViews>
  <sheetFormatPr defaultRowHeight="12.75" x14ac:dyDescent="0.2"/>
  <cols>
    <col min="1" max="1" width="5.85546875" style="702" customWidth="1"/>
    <col min="2" max="2" width="9.7109375" style="702" customWidth="1"/>
    <col min="3" max="3" width="35.5703125" style="702" customWidth="1"/>
    <col min="4" max="4" width="12.42578125" style="702" customWidth="1"/>
    <col min="5" max="5" width="11.7109375" style="702" customWidth="1"/>
    <col min="6" max="6" width="12.28515625" style="702" customWidth="1"/>
    <col min="7" max="7" width="11.85546875" style="702" customWidth="1"/>
    <col min="8" max="8" width="10.85546875" style="702" customWidth="1"/>
    <col min="9" max="9" width="11.140625" style="702" customWidth="1"/>
    <col min="10" max="10" width="10.85546875" style="702" customWidth="1"/>
    <col min="11" max="11" width="11.28515625" style="702" customWidth="1"/>
    <col min="12" max="12" width="10" style="702" customWidth="1"/>
    <col min="13" max="13" width="11" style="702" customWidth="1"/>
    <col min="14" max="14" width="11.7109375" style="702" customWidth="1"/>
    <col min="15" max="15" width="11.28515625" style="702" customWidth="1"/>
    <col min="16" max="16384" width="9.140625" style="702"/>
  </cols>
  <sheetData>
    <row r="1" spans="1:15" s="716" customFormat="1" ht="21.75" customHeight="1" x14ac:dyDescent="0.2">
      <c r="A1" s="1061" t="s">
        <v>749</v>
      </c>
      <c r="B1" s="1061"/>
      <c r="C1" s="1061"/>
      <c r="D1" s="1061"/>
      <c r="E1" s="1061"/>
      <c r="F1" s="1061"/>
      <c r="G1" s="1061"/>
      <c r="H1" s="1061"/>
      <c r="I1" s="1061"/>
      <c r="J1" s="1061"/>
      <c r="K1" s="1061"/>
      <c r="L1" s="1061"/>
      <c r="M1" s="1061"/>
      <c r="N1" s="1061"/>
      <c r="O1" s="1061"/>
    </row>
    <row r="2" spans="1:15" ht="13.5" thickBot="1" x14ac:dyDescent="0.25"/>
    <row r="3" spans="1:15" s="717" customFormat="1" ht="27.75" customHeight="1" thickBot="1" x14ac:dyDescent="0.25">
      <c r="A3" s="1062" t="s">
        <v>0</v>
      </c>
      <c r="B3" s="1065" t="s">
        <v>326</v>
      </c>
      <c r="C3" s="1068" t="s">
        <v>309</v>
      </c>
      <c r="D3" s="1071" t="s">
        <v>720</v>
      </c>
      <c r="E3" s="1072"/>
      <c r="F3" s="1072"/>
      <c r="G3" s="1072"/>
      <c r="H3" s="1072"/>
      <c r="I3" s="1072"/>
      <c r="J3" s="1072"/>
      <c r="K3" s="1072"/>
      <c r="L3" s="1072"/>
      <c r="M3" s="1072"/>
      <c r="N3" s="1072"/>
      <c r="O3" s="1073"/>
    </row>
    <row r="4" spans="1:15" s="717" customFormat="1" ht="15" customHeight="1" thickBot="1" x14ac:dyDescent="0.25">
      <c r="A4" s="1063"/>
      <c r="B4" s="1066"/>
      <c r="C4" s="1069"/>
      <c r="D4" s="1074" t="s">
        <v>44</v>
      </c>
      <c r="E4" s="1076" t="s">
        <v>447</v>
      </c>
      <c r="F4" s="1077"/>
      <c r="G4" s="1078"/>
      <c r="H4" s="1079" t="s">
        <v>674</v>
      </c>
      <c r="I4" s="1080"/>
      <c r="J4" s="1080"/>
      <c r="K4" s="1080"/>
      <c r="L4" s="1080"/>
      <c r="M4" s="1080"/>
      <c r="N4" s="1080"/>
      <c r="O4" s="1081"/>
    </row>
    <row r="5" spans="1:15" s="719" customFormat="1" ht="21" customHeight="1" x14ac:dyDescent="0.25">
      <c r="A5" s="1063"/>
      <c r="B5" s="1066"/>
      <c r="C5" s="1069"/>
      <c r="D5" s="1074"/>
      <c r="E5" s="1082" t="s">
        <v>426</v>
      </c>
      <c r="F5" s="718" t="s">
        <v>675</v>
      </c>
      <c r="G5" s="1084" t="s">
        <v>676</v>
      </c>
      <c r="H5" s="1086" t="s">
        <v>677</v>
      </c>
      <c r="I5" s="1087"/>
      <c r="J5" s="1088" t="s">
        <v>678</v>
      </c>
      <c r="K5" s="1089"/>
      <c r="L5" s="1088" t="s">
        <v>679</v>
      </c>
      <c r="M5" s="1089"/>
      <c r="N5" s="1088" t="s">
        <v>680</v>
      </c>
      <c r="O5" s="1089"/>
    </row>
    <row r="6" spans="1:15" s="719" customFormat="1" ht="15" customHeight="1" x14ac:dyDescent="0.25">
      <c r="A6" s="1063"/>
      <c r="B6" s="1066"/>
      <c r="C6" s="1069"/>
      <c r="D6" s="1074"/>
      <c r="E6" s="1083"/>
      <c r="F6" s="1082" t="s">
        <v>681</v>
      </c>
      <c r="G6" s="1084"/>
      <c r="H6" s="1091" t="s">
        <v>682</v>
      </c>
      <c r="I6" s="1109" t="s">
        <v>676</v>
      </c>
      <c r="J6" s="1091" t="s">
        <v>682</v>
      </c>
      <c r="K6" s="1093" t="s">
        <v>676</v>
      </c>
      <c r="L6" s="1091" t="s">
        <v>682</v>
      </c>
      <c r="M6" s="1082" t="s">
        <v>676</v>
      </c>
      <c r="N6" s="1091" t="s">
        <v>682</v>
      </c>
      <c r="O6" s="1093" t="s">
        <v>676</v>
      </c>
    </row>
    <row r="7" spans="1:15" s="719" customFormat="1" ht="66.75" customHeight="1" x14ac:dyDescent="0.25">
      <c r="A7" s="1064"/>
      <c r="B7" s="1067"/>
      <c r="C7" s="1070"/>
      <c r="D7" s="1075"/>
      <c r="E7" s="1077"/>
      <c r="F7" s="1090"/>
      <c r="G7" s="1085"/>
      <c r="H7" s="1092"/>
      <c r="I7" s="1110"/>
      <c r="J7" s="1092"/>
      <c r="K7" s="1094"/>
      <c r="L7" s="1092"/>
      <c r="M7" s="1090"/>
      <c r="N7" s="1092"/>
      <c r="O7" s="1094"/>
    </row>
    <row r="8" spans="1:15" s="717" customFormat="1" ht="13.5" thickBot="1" x14ac:dyDescent="0.25">
      <c r="A8" s="720">
        <v>1</v>
      </c>
      <c r="B8" s="721">
        <v>2</v>
      </c>
      <c r="C8" s="722">
        <v>3</v>
      </c>
      <c r="D8" s="723">
        <v>4</v>
      </c>
      <c r="E8" s="724">
        <v>5</v>
      </c>
      <c r="F8" s="725">
        <v>6</v>
      </c>
      <c r="G8" s="726">
        <v>7</v>
      </c>
      <c r="H8" s="727">
        <v>8</v>
      </c>
      <c r="I8" s="726">
        <v>9</v>
      </c>
      <c r="J8" s="727">
        <v>10</v>
      </c>
      <c r="K8" s="728">
        <v>11</v>
      </c>
      <c r="L8" s="727">
        <v>12</v>
      </c>
      <c r="M8" s="729">
        <v>13</v>
      </c>
      <c r="N8" s="727">
        <v>14</v>
      </c>
      <c r="O8" s="729">
        <v>15</v>
      </c>
    </row>
    <row r="9" spans="1:15" s="735" customFormat="1" x14ac:dyDescent="0.2">
      <c r="A9" s="1103" t="s">
        <v>469</v>
      </c>
      <c r="B9" s="1104"/>
      <c r="C9" s="1105"/>
      <c r="D9" s="730">
        <f>D10+D11</f>
        <v>1056860</v>
      </c>
      <c r="E9" s="731">
        <f>E10+E11</f>
        <v>1053516</v>
      </c>
      <c r="F9" s="731">
        <f t="shared" ref="F9:O9" si="0">F10+F11</f>
        <v>58994</v>
      </c>
      <c r="G9" s="732">
        <f t="shared" si="0"/>
        <v>3344</v>
      </c>
      <c r="H9" s="733">
        <f t="shared" si="0"/>
        <v>101787</v>
      </c>
      <c r="I9" s="732">
        <f t="shared" si="0"/>
        <v>4</v>
      </c>
      <c r="J9" s="733">
        <f t="shared" si="0"/>
        <v>209972</v>
      </c>
      <c r="K9" s="734">
        <f t="shared" si="0"/>
        <v>4</v>
      </c>
      <c r="L9" s="730">
        <f t="shared" si="0"/>
        <v>623516</v>
      </c>
      <c r="M9" s="734">
        <f t="shared" si="0"/>
        <v>66</v>
      </c>
      <c r="N9" s="730">
        <f t="shared" si="0"/>
        <v>118241</v>
      </c>
      <c r="O9" s="734">
        <f t="shared" si="0"/>
        <v>3270</v>
      </c>
    </row>
    <row r="10" spans="1:15" x14ac:dyDescent="0.2">
      <c r="A10" s="1100" t="s">
        <v>616</v>
      </c>
      <c r="B10" s="1101"/>
      <c r="C10" s="1102"/>
      <c r="D10" s="698"/>
      <c r="E10" s="701"/>
      <c r="F10" s="701"/>
      <c r="G10" s="696"/>
      <c r="H10" s="695"/>
      <c r="I10" s="696"/>
      <c r="J10" s="695">
        <f>102653-102653</f>
        <v>0</v>
      </c>
      <c r="K10" s="697"/>
      <c r="L10" s="698"/>
      <c r="M10" s="697"/>
      <c r="N10" s="698"/>
      <c r="O10" s="697"/>
    </row>
    <row r="11" spans="1:15" s="735" customFormat="1" x14ac:dyDescent="0.2">
      <c r="A11" s="1100" t="s">
        <v>15</v>
      </c>
      <c r="B11" s="1101"/>
      <c r="C11" s="1102"/>
      <c r="D11" s="736">
        <f>SUM(D12:D149)-D37-D75-D76-D78-D79-D80-D85-D88-D92</f>
        <v>1056860</v>
      </c>
      <c r="E11" s="736">
        <f t="shared" ref="E11:O11" si="1">SUM(E12:E149)-E37-E75-E76-E78-E79-E80-E85-E88-E92</f>
        <v>1053516</v>
      </c>
      <c r="F11" s="736">
        <f t="shared" si="1"/>
        <v>58994</v>
      </c>
      <c r="G11" s="737">
        <f t="shared" si="1"/>
        <v>3344</v>
      </c>
      <c r="H11" s="738">
        <f t="shared" si="1"/>
        <v>101787</v>
      </c>
      <c r="I11" s="737">
        <f t="shared" si="1"/>
        <v>4</v>
      </c>
      <c r="J11" s="738">
        <f t="shared" si="1"/>
        <v>209972</v>
      </c>
      <c r="K11" s="739">
        <f t="shared" si="1"/>
        <v>4</v>
      </c>
      <c r="L11" s="736">
        <f t="shared" si="1"/>
        <v>623516</v>
      </c>
      <c r="M11" s="739">
        <f t="shared" si="1"/>
        <v>66</v>
      </c>
      <c r="N11" s="736">
        <f t="shared" si="1"/>
        <v>118241</v>
      </c>
      <c r="O11" s="739">
        <f t="shared" si="1"/>
        <v>3270</v>
      </c>
    </row>
    <row r="12" spans="1:15" x14ac:dyDescent="0.2">
      <c r="A12" s="690">
        <v>1</v>
      </c>
      <c r="B12" s="329" t="s">
        <v>54</v>
      </c>
      <c r="C12" s="694" t="s">
        <v>55</v>
      </c>
      <c r="D12" s="698">
        <f>H12+I12+J12+K12+L12+M12+N12+O12</f>
        <v>5912</v>
      </c>
      <c r="E12" s="701">
        <f>H12+J12+L12+N12</f>
        <v>5912</v>
      </c>
      <c r="F12" s="701">
        <v>152</v>
      </c>
      <c r="G12" s="696"/>
      <c r="H12" s="695">
        <v>446</v>
      </c>
      <c r="I12" s="696"/>
      <c r="J12" s="695">
        <f>665+421</f>
        <v>1086</v>
      </c>
      <c r="K12" s="697"/>
      <c r="L12" s="698">
        <f>2755+467</f>
        <v>3222</v>
      </c>
      <c r="M12" s="697"/>
      <c r="N12" s="698">
        <v>1158</v>
      </c>
      <c r="O12" s="697"/>
    </row>
    <row r="13" spans="1:15" x14ac:dyDescent="0.2">
      <c r="A13" s="690">
        <v>2</v>
      </c>
      <c r="B13" s="700" t="s">
        <v>56</v>
      </c>
      <c r="C13" s="694" t="s">
        <v>57</v>
      </c>
      <c r="D13" s="698">
        <f t="shared" ref="D13:D74" si="2">H13+I13+J13+K13+L13+M13+N13+O13</f>
        <v>5336</v>
      </c>
      <c r="E13" s="701">
        <f t="shared" ref="E13:E74" si="3">H13+J13+L13+N13</f>
        <v>5326</v>
      </c>
      <c r="F13" s="701">
        <v>110</v>
      </c>
      <c r="G13" s="696">
        <f t="shared" ref="G13:G68" si="4">I13+K13+M13+O13</f>
        <v>10</v>
      </c>
      <c r="H13" s="695">
        <v>548</v>
      </c>
      <c r="I13" s="696"/>
      <c r="J13" s="695">
        <f>585+284</f>
        <v>869</v>
      </c>
      <c r="K13" s="697"/>
      <c r="L13" s="698">
        <f>2753+467</f>
        <v>3220</v>
      </c>
      <c r="M13" s="697"/>
      <c r="N13" s="698">
        <v>689</v>
      </c>
      <c r="O13" s="697">
        <v>10</v>
      </c>
    </row>
    <row r="14" spans="1:15" x14ac:dyDescent="0.2">
      <c r="A14" s="690">
        <v>3</v>
      </c>
      <c r="B14" s="338" t="s">
        <v>16</v>
      </c>
      <c r="C14" s="694" t="s">
        <v>17</v>
      </c>
      <c r="D14" s="698">
        <f t="shared" si="2"/>
        <v>15093</v>
      </c>
      <c r="E14" s="701">
        <f t="shared" si="3"/>
        <v>14748</v>
      </c>
      <c r="F14" s="701">
        <v>1575</v>
      </c>
      <c r="G14" s="696">
        <f t="shared" si="4"/>
        <v>345</v>
      </c>
      <c r="H14" s="695"/>
      <c r="I14" s="696">
        <v>1</v>
      </c>
      <c r="J14" s="695">
        <f>1726+415</f>
        <v>2141</v>
      </c>
      <c r="K14" s="697">
        <v>2</v>
      </c>
      <c r="L14" s="698">
        <f>7080+1201</f>
        <v>8281</v>
      </c>
      <c r="M14" s="697">
        <v>51</v>
      </c>
      <c r="N14" s="698">
        <v>4326</v>
      </c>
      <c r="O14" s="697">
        <v>291</v>
      </c>
    </row>
    <row r="15" spans="1:15" x14ac:dyDescent="0.2">
      <c r="A15" s="690">
        <v>4</v>
      </c>
      <c r="B15" s="329" t="s">
        <v>58</v>
      </c>
      <c r="C15" s="694" t="s">
        <v>59</v>
      </c>
      <c r="D15" s="698">
        <f t="shared" si="2"/>
        <v>6652</v>
      </c>
      <c r="E15" s="701">
        <f t="shared" si="3"/>
        <v>6636</v>
      </c>
      <c r="F15" s="701">
        <v>140</v>
      </c>
      <c r="G15" s="696">
        <f t="shared" si="4"/>
        <v>16</v>
      </c>
      <c r="H15" s="695">
        <v>609</v>
      </c>
      <c r="I15" s="696"/>
      <c r="J15" s="695">
        <f>826+429</f>
        <v>1255</v>
      </c>
      <c r="K15" s="697"/>
      <c r="L15" s="698">
        <f>3309+561</f>
        <v>3870</v>
      </c>
      <c r="M15" s="697"/>
      <c r="N15" s="698">
        <v>902</v>
      </c>
      <c r="O15" s="697">
        <v>16</v>
      </c>
    </row>
    <row r="16" spans="1:15" ht="15" customHeight="1" x14ac:dyDescent="0.2">
      <c r="A16" s="690">
        <v>5</v>
      </c>
      <c r="B16" s="329" t="s">
        <v>60</v>
      </c>
      <c r="C16" s="694" t="s">
        <v>61</v>
      </c>
      <c r="D16" s="698">
        <f t="shared" si="2"/>
        <v>6334</v>
      </c>
      <c r="E16" s="701">
        <f t="shared" si="3"/>
        <v>6326</v>
      </c>
      <c r="F16" s="701">
        <v>504</v>
      </c>
      <c r="G16" s="696">
        <f t="shared" si="4"/>
        <v>8</v>
      </c>
      <c r="H16" s="695">
        <v>530</v>
      </c>
      <c r="I16" s="696"/>
      <c r="J16" s="695">
        <f>626+525</f>
        <v>1151</v>
      </c>
      <c r="K16" s="697"/>
      <c r="L16" s="695">
        <f>3319+563</f>
        <v>3882</v>
      </c>
      <c r="M16" s="697"/>
      <c r="N16" s="698">
        <v>763</v>
      </c>
      <c r="O16" s="697">
        <v>8</v>
      </c>
    </row>
    <row r="17" spans="1:15" x14ac:dyDescent="0.2">
      <c r="A17" s="690">
        <v>6</v>
      </c>
      <c r="B17" s="338" t="s">
        <v>18</v>
      </c>
      <c r="C17" s="694" t="s">
        <v>19</v>
      </c>
      <c r="D17" s="698">
        <f t="shared" si="2"/>
        <v>37753</v>
      </c>
      <c r="E17" s="701">
        <f t="shared" si="3"/>
        <v>37693</v>
      </c>
      <c r="F17" s="701">
        <v>1949</v>
      </c>
      <c r="G17" s="696">
        <f t="shared" si="4"/>
        <v>60</v>
      </c>
      <c r="H17" s="695">
        <v>3622</v>
      </c>
      <c r="I17" s="696"/>
      <c r="J17" s="695">
        <f>4806+1974</f>
        <v>6780</v>
      </c>
      <c r="K17" s="697"/>
      <c r="L17" s="695">
        <f>19893+3375</f>
        <v>23268</v>
      </c>
      <c r="M17" s="697"/>
      <c r="N17" s="698">
        <v>4023</v>
      </c>
      <c r="O17" s="697">
        <v>60</v>
      </c>
    </row>
    <row r="18" spans="1:15" x14ac:dyDescent="0.2">
      <c r="A18" s="690">
        <v>7</v>
      </c>
      <c r="B18" s="329" t="s">
        <v>62</v>
      </c>
      <c r="C18" s="694" t="s">
        <v>63</v>
      </c>
      <c r="D18" s="698">
        <f t="shared" si="2"/>
        <v>17047</v>
      </c>
      <c r="E18" s="701">
        <f t="shared" si="3"/>
        <v>17041</v>
      </c>
      <c r="F18" s="701">
        <v>460</v>
      </c>
      <c r="G18" s="696">
        <f t="shared" si="4"/>
        <v>6</v>
      </c>
      <c r="H18" s="695">
        <v>1401</v>
      </c>
      <c r="I18" s="696"/>
      <c r="J18" s="695">
        <f>1882+2181</f>
        <v>4063</v>
      </c>
      <c r="K18" s="697"/>
      <c r="L18" s="695">
        <f>8134+1380</f>
        <v>9514</v>
      </c>
      <c r="M18" s="697"/>
      <c r="N18" s="698">
        <v>2063</v>
      </c>
      <c r="O18" s="697">
        <v>6</v>
      </c>
    </row>
    <row r="19" spans="1:15" x14ac:dyDescent="0.2">
      <c r="A19" s="690">
        <v>8</v>
      </c>
      <c r="B19" s="338" t="s">
        <v>64</v>
      </c>
      <c r="C19" s="694" t="s">
        <v>65</v>
      </c>
      <c r="D19" s="698">
        <f>H19+I19+J19+K19+L19+M19+N19+O19</f>
        <v>5663</v>
      </c>
      <c r="E19" s="701">
        <f t="shared" si="3"/>
        <v>5633</v>
      </c>
      <c r="F19" s="701">
        <v>472</v>
      </c>
      <c r="G19" s="696">
        <f>I19+K19+M19+O19</f>
        <v>30</v>
      </c>
      <c r="H19" s="695">
        <v>541</v>
      </c>
      <c r="I19" s="696"/>
      <c r="J19" s="695">
        <f>792+394</f>
        <v>1186</v>
      </c>
      <c r="K19" s="697"/>
      <c r="L19" s="695">
        <f>2746+466</f>
        <v>3212</v>
      </c>
      <c r="M19" s="697"/>
      <c r="N19" s="698">
        <v>694</v>
      </c>
      <c r="O19" s="697">
        <v>30</v>
      </c>
    </row>
    <row r="20" spans="1:15" x14ac:dyDescent="0.2">
      <c r="A20" s="690">
        <v>9</v>
      </c>
      <c r="B20" s="338" t="s">
        <v>66</v>
      </c>
      <c r="C20" s="694" t="s">
        <v>67</v>
      </c>
      <c r="D20" s="698">
        <f t="shared" si="2"/>
        <v>7125</v>
      </c>
      <c r="E20" s="701">
        <f t="shared" si="3"/>
        <v>7125</v>
      </c>
      <c r="F20" s="701">
        <v>64</v>
      </c>
      <c r="G20" s="696"/>
      <c r="H20" s="695">
        <v>546</v>
      </c>
      <c r="I20" s="696"/>
      <c r="J20" s="695">
        <f>746+553</f>
        <v>1299</v>
      </c>
      <c r="K20" s="697"/>
      <c r="L20" s="695">
        <f>3612+613</f>
        <v>4225</v>
      </c>
      <c r="M20" s="697"/>
      <c r="N20" s="698">
        <v>1055</v>
      </c>
      <c r="O20" s="697"/>
    </row>
    <row r="21" spans="1:15" x14ac:dyDescent="0.2">
      <c r="A21" s="690">
        <v>10</v>
      </c>
      <c r="B21" s="338" t="s">
        <v>68</v>
      </c>
      <c r="C21" s="694" t="s">
        <v>69</v>
      </c>
      <c r="D21" s="698">
        <f t="shared" si="2"/>
        <v>9662</v>
      </c>
      <c r="E21" s="701">
        <f t="shared" si="3"/>
        <v>9662</v>
      </c>
      <c r="F21" s="701">
        <v>902</v>
      </c>
      <c r="G21" s="696"/>
      <c r="H21" s="695">
        <v>688</v>
      </c>
      <c r="I21" s="696"/>
      <c r="J21" s="695">
        <f>998+1142</f>
        <v>2140</v>
      </c>
      <c r="K21" s="697"/>
      <c r="L21" s="695">
        <f>4705+798</f>
        <v>5503</v>
      </c>
      <c r="M21" s="697"/>
      <c r="N21" s="698">
        <v>1331</v>
      </c>
      <c r="O21" s="697"/>
    </row>
    <row r="22" spans="1:15" x14ac:dyDescent="0.2">
      <c r="A22" s="690">
        <v>11</v>
      </c>
      <c r="B22" s="338" t="s">
        <v>70</v>
      </c>
      <c r="C22" s="694" t="s">
        <v>71</v>
      </c>
      <c r="D22" s="698">
        <f t="shared" si="2"/>
        <v>5940</v>
      </c>
      <c r="E22" s="701">
        <f t="shared" si="3"/>
        <v>5940</v>
      </c>
      <c r="F22" s="701">
        <v>652</v>
      </c>
      <c r="G22" s="696"/>
      <c r="H22" s="695">
        <v>423</v>
      </c>
      <c r="I22" s="696"/>
      <c r="J22" s="695">
        <f>526+341</f>
        <v>867</v>
      </c>
      <c r="K22" s="697"/>
      <c r="L22" s="695">
        <f>3187+541</f>
        <v>3728</v>
      </c>
      <c r="M22" s="697"/>
      <c r="N22" s="698">
        <v>922</v>
      </c>
      <c r="O22" s="697"/>
    </row>
    <row r="23" spans="1:15" x14ac:dyDescent="0.2">
      <c r="A23" s="690">
        <v>12</v>
      </c>
      <c r="B23" s="338" t="s">
        <v>72</v>
      </c>
      <c r="C23" s="694" t="s">
        <v>73</v>
      </c>
      <c r="D23" s="698">
        <f t="shared" si="2"/>
        <v>11519</v>
      </c>
      <c r="E23" s="701">
        <f t="shared" si="3"/>
        <v>11429</v>
      </c>
      <c r="F23" s="701">
        <v>412</v>
      </c>
      <c r="G23" s="696">
        <f t="shared" si="4"/>
        <v>90</v>
      </c>
      <c r="H23" s="695">
        <v>1130</v>
      </c>
      <c r="I23" s="696"/>
      <c r="J23" s="695">
        <f>1132+882</f>
        <v>2014</v>
      </c>
      <c r="K23" s="697"/>
      <c r="L23" s="695">
        <f>6270+1064</f>
        <v>7334</v>
      </c>
      <c r="M23" s="697"/>
      <c r="N23" s="698">
        <v>951</v>
      </c>
      <c r="O23" s="697">
        <v>90</v>
      </c>
    </row>
    <row r="24" spans="1:15" x14ac:dyDescent="0.2">
      <c r="A24" s="690">
        <v>13</v>
      </c>
      <c r="B24" s="338" t="s">
        <v>74</v>
      </c>
      <c r="C24" s="694" t="s">
        <v>75</v>
      </c>
      <c r="D24" s="698"/>
      <c r="E24" s="701"/>
      <c r="F24" s="701"/>
      <c r="G24" s="696"/>
      <c r="H24" s="695"/>
      <c r="I24" s="696"/>
      <c r="J24" s="695"/>
      <c r="K24" s="697"/>
      <c r="L24" s="695"/>
      <c r="M24" s="697"/>
      <c r="N24" s="698"/>
      <c r="O24" s="697"/>
    </row>
    <row r="25" spans="1:15" x14ac:dyDescent="0.2">
      <c r="A25" s="690">
        <v>14</v>
      </c>
      <c r="B25" s="338" t="s">
        <v>76</v>
      </c>
      <c r="C25" s="694" t="s">
        <v>77</v>
      </c>
      <c r="D25" s="698">
        <f t="shared" si="2"/>
        <v>7227</v>
      </c>
      <c r="E25" s="701">
        <f t="shared" si="3"/>
        <v>7227</v>
      </c>
      <c r="F25" s="701">
        <v>1607</v>
      </c>
      <c r="G25" s="696"/>
      <c r="H25" s="695">
        <v>482</v>
      </c>
      <c r="I25" s="696"/>
      <c r="J25" s="695">
        <f>700+602</f>
        <v>1302</v>
      </c>
      <c r="K25" s="697"/>
      <c r="L25" s="695">
        <f>3669+623</f>
        <v>4292</v>
      </c>
      <c r="M25" s="697"/>
      <c r="N25" s="698">
        <v>1151</v>
      </c>
      <c r="O25" s="697"/>
    </row>
    <row r="26" spans="1:15" x14ac:dyDescent="0.2">
      <c r="A26" s="690">
        <v>15</v>
      </c>
      <c r="B26" s="338" t="s">
        <v>78</v>
      </c>
      <c r="C26" s="694" t="s">
        <v>79</v>
      </c>
      <c r="D26" s="698">
        <f t="shared" si="2"/>
        <v>7446</v>
      </c>
      <c r="E26" s="701">
        <f t="shared" si="3"/>
        <v>7441</v>
      </c>
      <c r="F26" s="701">
        <v>895</v>
      </c>
      <c r="G26" s="696">
        <f t="shared" si="4"/>
        <v>5</v>
      </c>
      <c r="H26" s="695">
        <v>595</v>
      </c>
      <c r="I26" s="696"/>
      <c r="J26" s="695">
        <f>894+704</f>
        <v>1598</v>
      </c>
      <c r="K26" s="697"/>
      <c r="L26" s="695">
        <f>4247+720</f>
        <v>4967</v>
      </c>
      <c r="M26" s="697"/>
      <c r="N26" s="698">
        <v>281</v>
      </c>
      <c r="O26" s="697">
        <v>5</v>
      </c>
    </row>
    <row r="27" spans="1:15" x14ac:dyDescent="0.2">
      <c r="A27" s="690">
        <v>16</v>
      </c>
      <c r="B27" s="338" t="s">
        <v>80</v>
      </c>
      <c r="C27" s="694" t="s">
        <v>81</v>
      </c>
      <c r="D27" s="698">
        <f t="shared" si="2"/>
        <v>10932</v>
      </c>
      <c r="E27" s="701">
        <f t="shared" si="3"/>
        <v>10926</v>
      </c>
      <c r="F27" s="701">
        <v>724</v>
      </c>
      <c r="G27" s="696">
        <f t="shared" si="4"/>
        <v>6</v>
      </c>
      <c r="H27" s="695">
        <v>741</v>
      </c>
      <c r="I27" s="696"/>
      <c r="J27" s="695">
        <f>1132+1384</f>
        <v>2516</v>
      </c>
      <c r="K27" s="697"/>
      <c r="L27" s="695">
        <f>5402+916</f>
        <v>6318</v>
      </c>
      <c r="M27" s="697"/>
      <c r="N27" s="698">
        <v>1351</v>
      </c>
      <c r="O27" s="697">
        <v>6</v>
      </c>
    </row>
    <row r="28" spans="1:15" x14ac:dyDescent="0.2">
      <c r="A28" s="690">
        <v>17</v>
      </c>
      <c r="B28" s="338" t="s">
        <v>20</v>
      </c>
      <c r="C28" s="694" t="s">
        <v>21</v>
      </c>
      <c r="D28" s="698">
        <f t="shared" si="2"/>
        <v>20348</v>
      </c>
      <c r="E28" s="701">
        <f t="shared" si="3"/>
        <v>19988</v>
      </c>
      <c r="F28" s="701">
        <v>4250</v>
      </c>
      <c r="G28" s="696">
        <f t="shared" si="4"/>
        <v>360</v>
      </c>
      <c r="H28" s="695"/>
      <c r="I28" s="696"/>
      <c r="J28" s="695">
        <f>2159+1128</f>
        <v>3287</v>
      </c>
      <c r="K28" s="697"/>
      <c r="L28" s="695">
        <f>12413+2106</f>
        <v>14519</v>
      </c>
      <c r="M28" s="697">
        <v>1</v>
      </c>
      <c r="N28" s="698">
        <v>2182</v>
      </c>
      <c r="O28" s="697">
        <v>359</v>
      </c>
    </row>
    <row r="29" spans="1:15" x14ac:dyDescent="0.2">
      <c r="A29" s="690">
        <v>18</v>
      </c>
      <c r="B29" s="329" t="s">
        <v>82</v>
      </c>
      <c r="C29" s="694" t="s">
        <v>83</v>
      </c>
      <c r="D29" s="698">
        <f t="shared" si="2"/>
        <v>3275</v>
      </c>
      <c r="E29" s="701">
        <f t="shared" si="3"/>
        <v>3275</v>
      </c>
      <c r="F29" s="701">
        <v>693</v>
      </c>
      <c r="G29" s="696"/>
      <c r="H29" s="695">
        <v>256</v>
      </c>
      <c r="I29" s="696"/>
      <c r="J29" s="695">
        <f>278+106</f>
        <v>384</v>
      </c>
      <c r="K29" s="697"/>
      <c r="L29" s="695">
        <f>1808+307</f>
        <v>2115</v>
      </c>
      <c r="M29" s="697"/>
      <c r="N29" s="698">
        <v>520</v>
      </c>
      <c r="O29" s="697"/>
    </row>
    <row r="30" spans="1:15" x14ac:dyDescent="0.2">
      <c r="A30" s="690">
        <v>19</v>
      </c>
      <c r="B30" s="329" t="s">
        <v>84</v>
      </c>
      <c r="C30" s="694" t="s">
        <v>85</v>
      </c>
      <c r="D30" s="698">
        <f t="shared" si="2"/>
        <v>4485</v>
      </c>
      <c r="E30" s="701">
        <f t="shared" si="3"/>
        <v>4390</v>
      </c>
      <c r="F30" s="701">
        <v>787</v>
      </c>
      <c r="G30" s="696">
        <f t="shared" si="4"/>
        <v>95</v>
      </c>
      <c r="H30" s="695">
        <v>283</v>
      </c>
      <c r="I30" s="696"/>
      <c r="J30" s="695">
        <f>392+640</f>
        <v>1032</v>
      </c>
      <c r="K30" s="697"/>
      <c r="L30" s="695">
        <f>2037+346</f>
        <v>2383</v>
      </c>
      <c r="M30" s="697"/>
      <c r="N30" s="698">
        <v>692</v>
      </c>
      <c r="O30" s="697">
        <v>95</v>
      </c>
    </row>
    <row r="31" spans="1:15" x14ac:dyDescent="0.2">
      <c r="A31" s="690">
        <v>20</v>
      </c>
      <c r="B31" s="329" t="s">
        <v>86</v>
      </c>
      <c r="C31" s="694" t="s">
        <v>87</v>
      </c>
      <c r="D31" s="698">
        <f t="shared" si="2"/>
        <v>18836</v>
      </c>
      <c r="E31" s="701">
        <f t="shared" si="3"/>
        <v>18798</v>
      </c>
      <c r="F31" s="701">
        <v>389</v>
      </c>
      <c r="G31" s="696">
        <f t="shared" si="4"/>
        <v>38</v>
      </c>
      <c r="H31" s="695">
        <v>1439</v>
      </c>
      <c r="I31" s="696"/>
      <c r="J31" s="695">
        <f>2221+1910</f>
        <v>4131</v>
      </c>
      <c r="K31" s="697"/>
      <c r="L31" s="695">
        <f>10006+1698</f>
        <v>11704</v>
      </c>
      <c r="M31" s="697">
        <f>1-1</f>
        <v>0</v>
      </c>
      <c r="N31" s="698">
        <v>1524</v>
      </c>
      <c r="O31" s="697">
        <f>37+1</f>
        <v>38</v>
      </c>
    </row>
    <row r="32" spans="1:15" x14ac:dyDescent="0.2">
      <c r="A32" s="690">
        <v>21</v>
      </c>
      <c r="B32" s="329" t="s">
        <v>22</v>
      </c>
      <c r="C32" s="694" t="s">
        <v>23</v>
      </c>
      <c r="D32" s="698">
        <f t="shared" si="2"/>
        <v>11472</v>
      </c>
      <c r="E32" s="701">
        <f t="shared" si="3"/>
        <v>11439</v>
      </c>
      <c r="F32" s="701">
        <v>435</v>
      </c>
      <c r="G32" s="696">
        <f t="shared" si="4"/>
        <v>33</v>
      </c>
      <c r="H32" s="695"/>
      <c r="I32" s="696"/>
      <c r="J32" s="695">
        <f>1667+445</f>
        <v>2112</v>
      </c>
      <c r="K32" s="697"/>
      <c r="L32" s="695">
        <f>6381+1083</f>
        <v>7464</v>
      </c>
      <c r="M32" s="697"/>
      <c r="N32" s="698">
        <v>1863</v>
      </c>
      <c r="O32" s="697">
        <v>33</v>
      </c>
    </row>
    <row r="33" spans="1:15" x14ac:dyDescent="0.2">
      <c r="A33" s="690">
        <v>22</v>
      </c>
      <c r="B33" s="338" t="s">
        <v>24</v>
      </c>
      <c r="C33" s="694" t="s">
        <v>25</v>
      </c>
      <c r="D33" s="698">
        <f t="shared" si="2"/>
        <v>2991</v>
      </c>
      <c r="E33" s="701">
        <f t="shared" si="3"/>
        <v>2991</v>
      </c>
      <c r="F33" s="701">
        <v>213</v>
      </c>
      <c r="G33" s="696"/>
      <c r="H33" s="695">
        <v>397</v>
      </c>
      <c r="I33" s="696"/>
      <c r="J33" s="695">
        <f>583+229</f>
        <v>812</v>
      </c>
      <c r="K33" s="697"/>
      <c r="L33" s="695">
        <f>1337+227</f>
        <v>1564</v>
      </c>
      <c r="M33" s="697"/>
      <c r="N33" s="698">
        <v>218</v>
      </c>
      <c r="O33" s="697"/>
    </row>
    <row r="34" spans="1:15" x14ac:dyDescent="0.2">
      <c r="A34" s="690">
        <v>23</v>
      </c>
      <c r="B34" s="338" t="s">
        <v>88</v>
      </c>
      <c r="C34" s="694" t="s">
        <v>89</v>
      </c>
      <c r="D34" s="698"/>
      <c r="E34" s="701"/>
      <c r="F34" s="701"/>
      <c r="G34" s="696"/>
      <c r="H34" s="695"/>
      <c r="I34" s="696"/>
      <c r="J34" s="695"/>
      <c r="K34" s="697"/>
      <c r="L34" s="695"/>
      <c r="M34" s="697"/>
      <c r="N34" s="698"/>
      <c r="O34" s="697"/>
    </row>
    <row r="35" spans="1:15" ht="25.5" x14ac:dyDescent="0.2">
      <c r="A35" s="690">
        <v>24</v>
      </c>
      <c r="B35" s="338" t="s">
        <v>90</v>
      </c>
      <c r="C35" s="694" t="s">
        <v>91</v>
      </c>
      <c r="D35" s="698"/>
      <c r="E35" s="701"/>
      <c r="F35" s="701"/>
      <c r="G35" s="696"/>
      <c r="H35" s="695"/>
      <c r="I35" s="696"/>
      <c r="J35" s="695"/>
      <c r="K35" s="697"/>
      <c r="L35" s="695"/>
      <c r="M35" s="697"/>
      <c r="N35" s="698"/>
      <c r="O35" s="697"/>
    </row>
    <row r="36" spans="1:15" ht="25.5" x14ac:dyDescent="0.2">
      <c r="A36" s="1106">
        <v>25</v>
      </c>
      <c r="B36" s="329" t="s">
        <v>92</v>
      </c>
      <c r="C36" s="699" t="s">
        <v>771</v>
      </c>
      <c r="D36" s="736">
        <f t="shared" si="2"/>
        <v>80620</v>
      </c>
      <c r="E36" s="740">
        <f t="shared" si="3"/>
        <v>80354</v>
      </c>
      <c r="F36" s="740">
        <v>9178</v>
      </c>
      <c r="G36" s="741">
        <f t="shared" si="4"/>
        <v>266</v>
      </c>
      <c r="H36" s="738">
        <v>7861</v>
      </c>
      <c r="I36" s="741"/>
      <c r="J36" s="738">
        <f>9786+8630</f>
        <v>18416</v>
      </c>
      <c r="K36" s="742"/>
      <c r="L36" s="738">
        <f>40408+6855</f>
        <v>47263</v>
      </c>
      <c r="M36" s="742"/>
      <c r="N36" s="736">
        <v>6814</v>
      </c>
      <c r="O36" s="742">
        <f>34+155+77</f>
        <v>266</v>
      </c>
    </row>
    <row r="37" spans="1:15" ht="15.75" customHeight="1" x14ac:dyDescent="0.2">
      <c r="A37" s="1107"/>
      <c r="B37" s="338" t="s">
        <v>94</v>
      </c>
      <c r="C37" s="694" t="s">
        <v>95</v>
      </c>
      <c r="D37" s="698">
        <f t="shared" si="2"/>
        <v>56</v>
      </c>
      <c r="E37" s="701"/>
      <c r="F37" s="701"/>
      <c r="G37" s="696">
        <f t="shared" si="4"/>
        <v>56</v>
      </c>
      <c r="H37" s="695"/>
      <c r="I37" s="696"/>
      <c r="J37" s="695"/>
      <c r="K37" s="697"/>
      <c r="L37" s="695"/>
      <c r="M37" s="697"/>
      <c r="N37" s="698"/>
      <c r="O37" s="697">
        <v>56</v>
      </c>
    </row>
    <row r="38" spans="1:15" x14ac:dyDescent="0.2">
      <c r="A38" s="690">
        <v>26</v>
      </c>
      <c r="B38" s="700" t="s">
        <v>96</v>
      </c>
      <c r="C38" s="694" t="s">
        <v>97</v>
      </c>
      <c r="D38" s="698"/>
      <c r="E38" s="701"/>
      <c r="F38" s="701"/>
      <c r="G38" s="696"/>
      <c r="H38" s="695"/>
      <c r="I38" s="696"/>
      <c r="J38" s="695"/>
      <c r="K38" s="697"/>
      <c r="L38" s="695"/>
      <c r="M38" s="697"/>
      <c r="N38" s="698"/>
      <c r="O38" s="697"/>
    </row>
    <row r="39" spans="1:15" x14ac:dyDescent="0.2">
      <c r="A39" s="690">
        <v>27</v>
      </c>
      <c r="B39" s="700" t="s">
        <v>26</v>
      </c>
      <c r="C39" s="694" t="s">
        <v>27</v>
      </c>
      <c r="D39" s="698">
        <f t="shared" si="2"/>
        <v>16503</v>
      </c>
      <c r="E39" s="701">
        <f t="shared" si="3"/>
        <v>16377</v>
      </c>
      <c r="F39" s="701">
        <v>833</v>
      </c>
      <c r="G39" s="696">
        <f t="shared" si="4"/>
        <v>126</v>
      </c>
      <c r="H39" s="695"/>
      <c r="I39" s="696"/>
      <c r="J39" s="695">
        <f>2314+2197</f>
        <v>4511</v>
      </c>
      <c r="K39" s="697"/>
      <c r="L39" s="695">
        <f>9636+1635</f>
        <v>11271</v>
      </c>
      <c r="M39" s="697">
        <v>1</v>
      </c>
      <c r="N39" s="698">
        <v>595</v>
      </c>
      <c r="O39" s="697">
        <v>125</v>
      </c>
    </row>
    <row r="40" spans="1:15" x14ac:dyDescent="0.2">
      <c r="A40" s="690">
        <v>28</v>
      </c>
      <c r="B40" s="329" t="s">
        <v>98</v>
      </c>
      <c r="C40" s="694" t="s">
        <v>99</v>
      </c>
      <c r="D40" s="698">
        <f t="shared" si="2"/>
        <v>29027</v>
      </c>
      <c r="E40" s="701">
        <f t="shared" si="3"/>
        <v>29011</v>
      </c>
      <c r="F40" s="701">
        <v>1047</v>
      </c>
      <c r="G40" s="696">
        <f t="shared" si="4"/>
        <v>16</v>
      </c>
      <c r="H40" s="695"/>
      <c r="I40" s="696"/>
      <c r="J40" s="695">
        <f>4161+2682</f>
        <v>6843</v>
      </c>
      <c r="K40" s="697"/>
      <c r="L40" s="695">
        <f>16276+2761</f>
        <v>19037</v>
      </c>
      <c r="M40" s="697"/>
      <c r="N40" s="698">
        <v>3131</v>
      </c>
      <c r="O40" s="697">
        <v>16</v>
      </c>
    </row>
    <row r="41" spans="1:15" x14ac:dyDescent="0.2">
      <c r="A41" s="690">
        <v>29</v>
      </c>
      <c r="B41" s="700" t="s">
        <v>100</v>
      </c>
      <c r="C41" s="694" t="s">
        <v>101</v>
      </c>
      <c r="D41" s="698">
        <f t="shared" si="2"/>
        <v>5626</v>
      </c>
      <c r="E41" s="701">
        <f t="shared" si="3"/>
        <v>5621</v>
      </c>
      <c r="F41" s="701">
        <v>185</v>
      </c>
      <c r="G41" s="696">
        <f t="shared" si="4"/>
        <v>5</v>
      </c>
      <c r="H41" s="695">
        <v>469</v>
      </c>
      <c r="I41" s="696"/>
      <c r="J41" s="695">
        <f>702+364</f>
        <v>1066</v>
      </c>
      <c r="K41" s="697"/>
      <c r="L41" s="695">
        <f>3076+522</f>
        <v>3598</v>
      </c>
      <c r="M41" s="697"/>
      <c r="N41" s="698">
        <v>488</v>
      </c>
      <c r="O41" s="697">
        <v>5</v>
      </c>
    </row>
    <row r="42" spans="1:15" x14ac:dyDescent="0.2">
      <c r="A42" s="690">
        <v>30</v>
      </c>
      <c r="B42" s="338" t="s">
        <v>102</v>
      </c>
      <c r="C42" s="694" t="s">
        <v>103</v>
      </c>
      <c r="D42" s="698">
        <f t="shared" si="2"/>
        <v>22564</v>
      </c>
      <c r="E42" s="701">
        <f t="shared" si="3"/>
        <v>22489</v>
      </c>
      <c r="F42" s="701">
        <v>923</v>
      </c>
      <c r="G42" s="696">
        <f t="shared" si="4"/>
        <v>75</v>
      </c>
      <c r="H42" s="695">
        <v>1904</v>
      </c>
      <c r="I42" s="696"/>
      <c r="J42" s="695">
        <f>2834+1503</f>
        <v>4337</v>
      </c>
      <c r="K42" s="697"/>
      <c r="L42" s="695">
        <f>10772+1828</f>
        <v>12600</v>
      </c>
      <c r="M42" s="697"/>
      <c r="N42" s="698">
        <v>3648</v>
      </c>
      <c r="O42" s="697">
        <v>75</v>
      </c>
    </row>
    <row r="43" spans="1:15" x14ac:dyDescent="0.2">
      <c r="A43" s="690">
        <v>31</v>
      </c>
      <c r="B43" s="700" t="s">
        <v>104</v>
      </c>
      <c r="C43" s="694" t="s">
        <v>105</v>
      </c>
      <c r="D43" s="698">
        <f t="shared" si="2"/>
        <v>9047</v>
      </c>
      <c r="E43" s="701">
        <f t="shared" si="3"/>
        <v>8992</v>
      </c>
      <c r="F43" s="701">
        <v>207</v>
      </c>
      <c r="G43" s="696">
        <f t="shared" si="4"/>
        <v>55</v>
      </c>
      <c r="H43" s="695">
        <v>670</v>
      </c>
      <c r="I43" s="696"/>
      <c r="J43" s="695">
        <f>1130+1310</f>
        <v>2440</v>
      </c>
      <c r="K43" s="697"/>
      <c r="L43" s="695">
        <f>4634+786</f>
        <v>5420</v>
      </c>
      <c r="M43" s="697"/>
      <c r="N43" s="698">
        <v>462</v>
      </c>
      <c r="O43" s="697">
        <v>55</v>
      </c>
    </row>
    <row r="44" spans="1:15" x14ac:dyDescent="0.2">
      <c r="A44" s="690">
        <v>32</v>
      </c>
      <c r="B44" s="329" t="s">
        <v>106</v>
      </c>
      <c r="C44" s="694" t="s">
        <v>107</v>
      </c>
      <c r="D44" s="698">
        <f t="shared" si="2"/>
        <v>20961</v>
      </c>
      <c r="E44" s="701">
        <f t="shared" si="3"/>
        <v>20887</v>
      </c>
      <c r="F44" s="701">
        <v>1145</v>
      </c>
      <c r="G44" s="696">
        <f t="shared" si="4"/>
        <v>74</v>
      </c>
      <c r="H44" s="695">
        <v>2023</v>
      </c>
      <c r="I44" s="696"/>
      <c r="J44" s="695">
        <f>2954+1024</f>
        <v>3978</v>
      </c>
      <c r="K44" s="697"/>
      <c r="L44" s="695">
        <f>11035+1872</f>
        <v>12907</v>
      </c>
      <c r="M44" s="697"/>
      <c r="N44" s="698">
        <v>1979</v>
      </c>
      <c r="O44" s="697">
        <v>74</v>
      </c>
    </row>
    <row r="45" spans="1:15" x14ac:dyDescent="0.2">
      <c r="A45" s="690">
        <v>33</v>
      </c>
      <c r="B45" s="743" t="s">
        <v>108</v>
      </c>
      <c r="C45" s="744" t="s">
        <v>109</v>
      </c>
      <c r="D45" s="698">
        <f t="shared" si="2"/>
        <v>7045</v>
      </c>
      <c r="E45" s="701">
        <f t="shared" si="3"/>
        <v>7025</v>
      </c>
      <c r="F45" s="701">
        <v>164</v>
      </c>
      <c r="G45" s="696">
        <f t="shared" si="4"/>
        <v>20</v>
      </c>
      <c r="H45" s="695">
        <v>683</v>
      </c>
      <c r="I45" s="696"/>
      <c r="J45" s="695">
        <f>957+265</f>
        <v>1222</v>
      </c>
      <c r="K45" s="697"/>
      <c r="L45" s="695">
        <f>3861+655</f>
        <v>4516</v>
      </c>
      <c r="M45" s="697"/>
      <c r="N45" s="698">
        <v>604</v>
      </c>
      <c r="O45" s="697">
        <v>20</v>
      </c>
    </row>
    <row r="46" spans="1:15" x14ac:dyDescent="0.2">
      <c r="A46" s="690">
        <v>34</v>
      </c>
      <c r="B46" s="329" t="s">
        <v>110</v>
      </c>
      <c r="C46" s="694" t="s">
        <v>111</v>
      </c>
      <c r="D46" s="698">
        <f t="shared" si="2"/>
        <v>5908</v>
      </c>
      <c r="E46" s="701">
        <f t="shared" si="3"/>
        <v>5843</v>
      </c>
      <c r="F46" s="701">
        <v>143</v>
      </c>
      <c r="G46" s="696">
        <f t="shared" si="4"/>
        <v>65</v>
      </c>
      <c r="H46" s="695">
        <v>558</v>
      </c>
      <c r="I46" s="696"/>
      <c r="J46" s="695">
        <f>619+221</f>
        <v>840</v>
      </c>
      <c r="K46" s="697"/>
      <c r="L46" s="695">
        <f>2993+508</f>
        <v>3501</v>
      </c>
      <c r="M46" s="697"/>
      <c r="N46" s="698">
        <v>944</v>
      </c>
      <c r="O46" s="697">
        <v>65</v>
      </c>
    </row>
    <row r="47" spans="1:15" x14ac:dyDescent="0.2">
      <c r="A47" s="690">
        <v>35</v>
      </c>
      <c r="B47" s="329" t="s">
        <v>112</v>
      </c>
      <c r="C47" s="694" t="s">
        <v>113</v>
      </c>
      <c r="D47" s="698">
        <f t="shared" si="2"/>
        <v>10452</v>
      </c>
      <c r="E47" s="701">
        <f t="shared" si="3"/>
        <v>10452</v>
      </c>
      <c r="F47" s="701">
        <v>276</v>
      </c>
      <c r="G47" s="696"/>
      <c r="H47" s="695">
        <v>861</v>
      </c>
      <c r="I47" s="696"/>
      <c r="J47" s="695">
        <f>1013+851</f>
        <v>1864</v>
      </c>
      <c r="K47" s="697"/>
      <c r="L47" s="695">
        <f>5245+890</f>
        <v>6135</v>
      </c>
      <c r="M47" s="697"/>
      <c r="N47" s="698">
        <v>1592</v>
      </c>
      <c r="O47" s="697"/>
    </row>
    <row r="48" spans="1:15" x14ac:dyDescent="0.2">
      <c r="A48" s="690">
        <v>36</v>
      </c>
      <c r="B48" s="338" t="s">
        <v>114</v>
      </c>
      <c r="C48" s="694" t="s">
        <v>115</v>
      </c>
      <c r="D48" s="698">
        <f t="shared" si="2"/>
        <v>3903</v>
      </c>
      <c r="E48" s="701">
        <f t="shared" si="3"/>
        <v>3903</v>
      </c>
      <c r="F48" s="701">
        <v>89</v>
      </c>
      <c r="G48" s="696"/>
      <c r="H48" s="695">
        <v>407</v>
      </c>
      <c r="I48" s="696"/>
      <c r="J48" s="695">
        <f>436+221</f>
        <v>657</v>
      </c>
      <c r="K48" s="697"/>
      <c r="L48" s="695">
        <f>2070+351</f>
        <v>2421</v>
      </c>
      <c r="M48" s="697"/>
      <c r="N48" s="698">
        <v>418</v>
      </c>
      <c r="O48" s="697"/>
    </row>
    <row r="49" spans="1:15" x14ac:dyDescent="0.2">
      <c r="A49" s="690">
        <v>37</v>
      </c>
      <c r="B49" s="700" t="s">
        <v>116</v>
      </c>
      <c r="C49" s="694" t="s">
        <v>117</v>
      </c>
      <c r="D49" s="698">
        <f t="shared" si="2"/>
        <v>5359</v>
      </c>
      <c r="E49" s="701">
        <f t="shared" si="3"/>
        <v>5359</v>
      </c>
      <c r="F49" s="701">
        <v>129</v>
      </c>
      <c r="G49" s="696"/>
      <c r="H49" s="695">
        <v>1105</v>
      </c>
      <c r="I49" s="696"/>
      <c r="J49" s="695">
        <f>1112+581</f>
        <v>1693</v>
      </c>
      <c r="K49" s="697"/>
      <c r="L49" s="695">
        <f>2190+371</f>
        <v>2561</v>
      </c>
      <c r="M49" s="697"/>
      <c r="N49" s="698"/>
      <c r="O49" s="697"/>
    </row>
    <row r="50" spans="1:15" x14ac:dyDescent="0.2">
      <c r="A50" s="690">
        <v>38</v>
      </c>
      <c r="B50" s="338" t="s">
        <v>28</v>
      </c>
      <c r="C50" s="694" t="s">
        <v>29</v>
      </c>
      <c r="D50" s="698">
        <f t="shared" si="2"/>
        <v>26831</v>
      </c>
      <c r="E50" s="701">
        <f t="shared" si="3"/>
        <v>26667</v>
      </c>
      <c r="F50" s="701">
        <v>309</v>
      </c>
      <c r="G50" s="696">
        <f t="shared" si="4"/>
        <v>164</v>
      </c>
      <c r="H50" s="695">
        <v>2786</v>
      </c>
      <c r="I50" s="696">
        <v>1</v>
      </c>
      <c r="J50" s="695">
        <f>3406+2530</f>
        <v>5936</v>
      </c>
      <c r="K50" s="697"/>
      <c r="L50" s="695">
        <f>13493+2289</f>
        <v>15782</v>
      </c>
      <c r="M50" s="697">
        <v>1</v>
      </c>
      <c r="N50" s="698">
        <v>2163</v>
      </c>
      <c r="O50" s="697">
        <v>162</v>
      </c>
    </row>
    <row r="51" spans="1:15" x14ac:dyDescent="0.2">
      <c r="A51" s="690">
        <v>39</v>
      </c>
      <c r="B51" s="329" t="s">
        <v>118</v>
      </c>
      <c r="C51" s="694" t="s">
        <v>119</v>
      </c>
      <c r="D51" s="698">
        <f t="shared" si="2"/>
        <v>9011</v>
      </c>
      <c r="E51" s="701">
        <f t="shared" si="3"/>
        <v>8936</v>
      </c>
      <c r="F51" s="701">
        <v>124</v>
      </c>
      <c r="G51" s="696">
        <f t="shared" si="4"/>
        <v>75</v>
      </c>
      <c r="H51" s="695">
        <v>705</v>
      </c>
      <c r="I51" s="696">
        <v>2</v>
      </c>
      <c r="J51" s="695">
        <f>1090+955</f>
        <v>2045</v>
      </c>
      <c r="K51" s="697"/>
      <c r="L51" s="695">
        <f>4494+762</f>
        <v>5256</v>
      </c>
      <c r="M51" s="697">
        <v>2</v>
      </c>
      <c r="N51" s="698">
        <v>930</v>
      </c>
      <c r="O51" s="697">
        <v>71</v>
      </c>
    </row>
    <row r="52" spans="1:15" x14ac:dyDescent="0.2">
      <c r="A52" s="690">
        <v>40</v>
      </c>
      <c r="B52" s="329" t="s">
        <v>120</v>
      </c>
      <c r="C52" s="694" t="s">
        <v>121</v>
      </c>
      <c r="D52" s="698">
        <f t="shared" si="2"/>
        <v>16395</v>
      </c>
      <c r="E52" s="701">
        <f t="shared" si="3"/>
        <v>16328</v>
      </c>
      <c r="F52" s="701">
        <v>1880</v>
      </c>
      <c r="G52" s="696">
        <f t="shared" si="4"/>
        <v>67</v>
      </c>
      <c r="H52" s="695"/>
      <c r="I52" s="696"/>
      <c r="J52" s="695">
        <f>2698+1501</f>
        <v>4199</v>
      </c>
      <c r="K52" s="697"/>
      <c r="L52" s="695">
        <f>8562+1453</f>
        <v>10015</v>
      </c>
      <c r="M52" s="697"/>
      <c r="N52" s="698">
        <v>2114</v>
      </c>
      <c r="O52" s="697">
        <v>67</v>
      </c>
    </row>
    <row r="53" spans="1:15" x14ac:dyDescent="0.2">
      <c r="A53" s="690">
        <v>41</v>
      </c>
      <c r="B53" s="338" t="s">
        <v>122</v>
      </c>
      <c r="C53" s="694" t="s">
        <v>123</v>
      </c>
      <c r="D53" s="698">
        <f t="shared" si="2"/>
        <v>6478</v>
      </c>
      <c r="E53" s="701">
        <f t="shared" si="3"/>
        <v>6418</v>
      </c>
      <c r="F53" s="701">
        <v>87</v>
      </c>
      <c r="G53" s="696">
        <f t="shared" si="4"/>
        <v>60</v>
      </c>
      <c r="H53" s="695">
        <v>596</v>
      </c>
      <c r="I53" s="696"/>
      <c r="J53" s="695">
        <f>692+432</f>
        <v>1124</v>
      </c>
      <c r="K53" s="697"/>
      <c r="L53" s="695">
        <f>3163+537</f>
        <v>3700</v>
      </c>
      <c r="M53" s="697"/>
      <c r="N53" s="698">
        <v>998</v>
      </c>
      <c r="O53" s="697">
        <v>60</v>
      </c>
    </row>
    <row r="54" spans="1:15" x14ac:dyDescent="0.2">
      <c r="A54" s="690">
        <v>42</v>
      </c>
      <c r="B54" s="700" t="s">
        <v>124</v>
      </c>
      <c r="C54" s="694" t="s">
        <v>125</v>
      </c>
      <c r="D54" s="698">
        <f t="shared" si="2"/>
        <v>7304</v>
      </c>
      <c r="E54" s="701">
        <f t="shared" si="3"/>
        <v>7304</v>
      </c>
      <c r="F54" s="701">
        <v>117</v>
      </c>
      <c r="G54" s="696"/>
      <c r="H54" s="695">
        <v>809</v>
      </c>
      <c r="I54" s="696"/>
      <c r="J54" s="695">
        <f>1101+378</f>
        <v>1479</v>
      </c>
      <c r="K54" s="697"/>
      <c r="L54" s="695">
        <f>3960+672</f>
        <v>4632</v>
      </c>
      <c r="M54" s="697"/>
      <c r="N54" s="698">
        <v>384</v>
      </c>
      <c r="O54" s="697"/>
    </row>
    <row r="55" spans="1:15" ht="15.75" customHeight="1" x14ac:dyDescent="0.2">
      <c r="A55" s="690">
        <v>43</v>
      </c>
      <c r="B55" s="338" t="s">
        <v>126</v>
      </c>
      <c r="C55" s="694" t="s">
        <v>127</v>
      </c>
      <c r="D55" s="698">
        <f t="shared" si="2"/>
        <v>9764</v>
      </c>
      <c r="E55" s="701">
        <f t="shared" si="3"/>
        <v>9699</v>
      </c>
      <c r="F55" s="701">
        <v>220</v>
      </c>
      <c r="G55" s="696">
        <f t="shared" si="4"/>
        <v>65</v>
      </c>
      <c r="H55" s="695">
        <v>897</v>
      </c>
      <c r="I55" s="696"/>
      <c r="J55" s="695">
        <f>1203+1097</f>
        <v>2300</v>
      </c>
      <c r="K55" s="697"/>
      <c r="L55" s="695">
        <f>5258+892</f>
        <v>6150</v>
      </c>
      <c r="M55" s="697"/>
      <c r="N55" s="698">
        <v>352</v>
      </c>
      <c r="O55" s="697">
        <v>65</v>
      </c>
    </row>
    <row r="56" spans="1:15" ht="14.25" customHeight="1" x14ac:dyDescent="0.2">
      <c r="A56" s="690">
        <v>44</v>
      </c>
      <c r="B56" s="700" t="s">
        <v>128</v>
      </c>
      <c r="C56" s="694" t="s">
        <v>129</v>
      </c>
      <c r="D56" s="698">
        <f t="shared" si="2"/>
        <v>9691</v>
      </c>
      <c r="E56" s="701">
        <f t="shared" si="3"/>
        <v>9671</v>
      </c>
      <c r="F56" s="701">
        <v>761</v>
      </c>
      <c r="G56" s="696">
        <f t="shared" si="4"/>
        <v>20</v>
      </c>
      <c r="H56" s="695">
        <v>1039</v>
      </c>
      <c r="I56" s="696"/>
      <c r="J56" s="695">
        <f>1389+488</f>
        <v>1877</v>
      </c>
      <c r="K56" s="697"/>
      <c r="L56" s="695">
        <f>4456+756</f>
        <v>5212</v>
      </c>
      <c r="M56" s="697"/>
      <c r="N56" s="698">
        <v>1543</v>
      </c>
      <c r="O56" s="697">
        <v>20</v>
      </c>
    </row>
    <row r="57" spans="1:15" x14ac:dyDescent="0.2">
      <c r="A57" s="690">
        <v>45</v>
      </c>
      <c r="B57" s="338" t="s">
        <v>130</v>
      </c>
      <c r="C57" s="694" t="s">
        <v>131</v>
      </c>
      <c r="D57" s="698">
        <f t="shared" si="2"/>
        <v>4365</v>
      </c>
      <c r="E57" s="701">
        <f t="shared" si="3"/>
        <v>4359</v>
      </c>
      <c r="F57" s="701">
        <v>378</v>
      </c>
      <c r="G57" s="696">
        <f t="shared" si="4"/>
        <v>6</v>
      </c>
      <c r="H57" s="695">
        <v>341</v>
      </c>
      <c r="I57" s="696"/>
      <c r="J57" s="695">
        <f>460+240</f>
        <v>700</v>
      </c>
      <c r="K57" s="697"/>
      <c r="L57" s="695">
        <f>2125+361</f>
        <v>2486</v>
      </c>
      <c r="M57" s="697"/>
      <c r="N57" s="698">
        <v>832</v>
      </c>
      <c r="O57" s="697">
        <v>6</v>
      </c>
    </row>
    <row r="58" spans="1:15" x14ac:dyDescent="0.2">
      <c r="A58" s="690">
        <v>46</v>
      </c>
      <c r="B58" s="700" t="s">
        <v>132</v>
      </c>
      <c r="C58" s="694" t="s">
        <v>133</v>
      </c>
      <c r="D58" s="698">
        <f t="shared" si="2"/>
        <v>6804</v>
      </c>
      <c r="E58" s="701">
        <f t="shared" si="3"/>
        <v>6804</v>
      </c>
      <c r="F58" s="701">
        <v>2564</v>
      </c>
      <c r="G58" s="696"/>
      <c r="H58" s="695">
        <v>735</v>
      </c>
      <c r="I58" s="696"/>
      <c r="J58" s="695">
        <f>725+532</f>
        <v>1257</v>
      </c>
      <c r="K58" s="697"/>
      <c r="L58" s="695">
        <f>3415+579</f>
        <v>3994</v>
      </c>
      <c r="M58" s="697"/>
      <c r="N58" s="698">
        <v>818</v>
      </c>
      <c r="O58" s="697"/>
    </row>
    <row r="59" spans="1:15" x14ac:dyDescent="0.2">
      <c r="A59" s="690">
        <v>47</v>
      </c>
      <c r="B59" s="338" t="s">
        <v>134</v>
      </c>
      <c r="C59" s="694" t="s">
        <v>135</v>
      </c>
      <c r="D59" s="698">
        <f t="shared" si="2"/>
        <v>13595</v>
      </c>
      <c r="E59" s="701">
        <f t="shared" si="3"/>
        <v>13577</v>
      </c>
      <c r="F59" s="701">
        <v>530</v>
      </c>
      <c r="G59" s="696">
        <f t="shared" si="4"/>
        <v>18</v>
      </c>
      <c r="H59" s="695">
        <v>1154</v>
      </c>
      <c r="I59" s="696"/>
      <c r="J59" s="695">
        <f>1141+1195</f>
        <v>2336</v>
      </c>
      <c r="K59" s="697"/>
      <c r="L59" s="695">
        <f>6484+1100</f>
        <v>7584</v>
      </c>
      <c r="M59" s="697"/>
      <c r="N59" s="698">
        <v>2503</v>
      </c>
      <c r="O59" s="697">
        <v>18</v>
      </c>
    </row>
    <row r="60" spans="1:15" x14ac:dyDescent="0.2">
      <c r="A60" s="690">
        <v>48</v>
      </c>
      <c r="B60" s="338" t="s">
        <v>136</v>
      </c>
      <c r="C60" s="694" t="s">
        <v>137</v>
      </c>
      <c r="D60" s="698">
        <f t="shared" si="2"/>
        <v>35787</v>
      </c>
      <c r="E60" s="701">
        <f t="shared" si="3"/>
        <v>35500</v>
      </c>
      <c r="F60" s="701">
        <v>928</v>
      </c>
      <c r="G60" s="696">
        <f t="shared" si="4"/>
        <v>287</v>
      </c>
      <c r="H60" s="695">
        <v>3136</v>
      </c>
      <c r="I60" s="696"/>
      <c r="J60" s="695">
        <f>3999+2481</f>
        <v>6480</v>
      </c>
      <c r="K60" s="697"/>
      <c r="L60" s="695">
        <f>18514+3142</f>
        <v>21656</v>
      </c>
      <c r="M60" s="697">
        <v>8</v>
      </c>
      <c r="N60" s="698">
        <v>4228</v>
      </c>
      <c r="O60" s="697">
        <v>279</v>
      </c>
    </row>
    <row r="61" spans="1:15" x14ac:dyDescent="0.2">
      <c r="A61" s="690">
        <v>49</v>
      </c>
      <c r="B61" s="338" t="s">
        <v>138</v>
      </c>
      <c r="C61" s="694" t="s">
        <v>139</v>
      </c>
      <c r="D61" s="698">
        <f t="shared" si="2"/>
        <v>8040</v>
      </c>
      <c r="E61" s="701">
        <f t="shared" si="3"/>
        <v>8034</v>
      </c>
      <c r="F61" s="701">
        <v>744</v>
      </c>
      <c r="G61" s="696">
        <f>I61+K61+M61+O61</f>
        <v>6</v>
      </c>
      <c r="H61" s="695">
        <v>819</v>
      </c>
      <c r="I61" s="696"/>
      <c r="J61" s="695">
        <f>845+636</f>
        <v>1481</v>
      </c>
      <c r="K61" s="697"/>
      <c r="L61" s="695">
        <f>4061+689</f>
        <v>4750</v>
      </c>
      <c r="M61" s="697"/>
      <c r="N61" s="698">
        <v>984</v>
      </c>
      <c r="O61" s="697">
        <v>6</v>
      </c>
    </row>
    <row r="62" spans="1:15" x14ac:dyDescent="0.2">
      <c r="A62" s="690">
        <v>50</v>
      </c>
      <c r="B62" s="338" t="s">
        <v>140</v>
      </c>
      <c r="C62" s="694" t="s">
        <v>141</v>
      </c>
      <c r="D62" s="698">
        <f t="shared" si="2"/>
        <v>6101</v>
      </c>
      <c r="E62" s="701">
        <f t="shared" si="3"/>
        <v>6086</v>
      </c>
      <c r="F62" s="701">
        <v>189</v>
      </c>
      <c r="G62" s="696">
        <f t="shared" si="4"/>
        <v>15</v>
      </c>
      <c r="H62" s="695">
        <v>484</v>
      </c>
      <c r="I62" s="696"/>
      <c r="J62" s="695">
        <f>615+292</f>
        <v>907</v>
      </c>
      <c r="K62" s="697"/>
      <c r="L62" s="695">
        <f>2837+481</f>
        <v>3318</v>
      </c>
      <c r="M62" s="697"/>
      <c r="N62" s="698">
        <v>1377</v>
      </c>
      <c r="O62" s="697">
        <v>15</v>
      </c>
    </row>
    <row r="63" spans="1:15" x14ac:dyDescent="0.2">
      <c r="A63" s="690">
        <v>51</v>
      </c>
      <c r="B63" s="700" t="s">
        <v>142</v>
      </c>
      <c r="C63" s="694" t="s">
        <v>143</v>
      </c>
      <c r="D63" s="698">
        <f t="shared" si="2"/>
        <v>7366</v>
      </c>
      <c r="E63" s="701">
        <f t="shared" si="3"/>
        <v>7361</v>
      </c>
      <c r="F63" s="701">
        <v>189</v>
      </c>
      <c r="G63" s="696">
        <f>I63+K63+M63+O63</f>
        <v>5</v>
      </c>
      <c r="H63" s="695">
        <v>658</v>
      </c>
      <c r="I63" s="696"/>
      <c r="J63" s="695">
        <f>800+1021</f>
        <v>1821</v>
      </c>
      <c r="K63" s="697"/>
      <c r="L63" s="695">
        <f>3788+643</f>
        <v>4431</v>
      </c>
      <c r="M63" s="697"/>
      <c r="N63" s="698">
        <v>451</v>
      </c>
      <c r="O63" s="697">
        <v>5</v>
      </c>
    </row>
    <row r="64" spans="1:15" x14ac:dyDescent="0.2">
      <c r="A64" s="690">
        <v>52</v>
      </c>
      <c r="B64" s="338" t="s">
        <v>144</v>
      </c>
      <c r="C64" s="694" t="s">
        <v>145</v>
      </c>
      <c r="D64" s="698"/>
      <c r="E64" s="701"/>
      <c r="F64" s="701"/>
      <c r="G64" s="696"/>
      <c r="H64" s="695"/>
      <c r="I64" s="696"/>
      <c r="J64" s="695"/>
      <c r="K64" s="697"/>
      <c r="L64" s="695"/>
      <c r="M64" s="697"/>
      <c r="N64" s="698"/>
      <c r="O64" s="697"/>
    </row>
    <row r="65" spans="1:15" ht="13.5" customHeight="1" x14ac:dyDescent="0.2">
      <c r="A65" s="690">
        <v>53</v>
      </c>
      <c r="B65" s="338" t="s">
        <v>146</v>
      </c>
      <c r="C65" s="694" t="s">
        <v>147</v>
      </c>
      <c r="D65" s="698"/>
      <c r="E65" s="701"/>
      <c r="F65" s="701"/>
      <c r="G65" s="696"/>
      <c r="H65" s="695"/>
      <c r="I65" s="696"/>
      <c r="J65" s="695"/>
      <c r="K65" s="697"/>
      <c r="L65" s="695"/>
      <c r="M65" s="697"/>
      <c r="N65" s="698"/>
      <c r="O65" s="697"/>
    </row>
    <row r="66" spans="1:15" ht="15.75" customHeight="1" x14ac:dyDescent="0.2">
      <c r="A66" s="690">
        <v>54</v>
      </c>
      <c r="B66" s="338" t="s">
        <v>148</v>
      </c>
      <c r="C66" s="694" t="s">
        <v>149</v>
      </c>
      <c r="D66" s="698">
        <f t="shared" si="2"/>
        <v>135</v>
      </c>
      <c r="E66" s="701"/>
      <c r="F66" s="701"/>
      <c r="G66" s="696">
        <f t="shared" si="4"/>
        <v>135</v>
      </c>
      <c r="H66" s="695"/>
      <c r="I66" s="696"/>
      <c r="J66" s="695"/>
      <c r="K66" s="697"/>
      <c r="L66" s="695"/>
      <c r="M66" s="697"/>
      <c r="N66" s="698"/>
      <c r="O66" s="697">
        <v>135</v>
      </c>
    </row>
    <row r="67" spans="1:15" ht="15.75" customHeight="1" x14ac:dyDescent="0.2">
      <c r="A67" s="690">
        <v>55</v>
      </c>
      <c r="B67" s="700" t="s">
        <v>150</v>
      </c>
      <c r="C67" s="694" t="s">
        <v>151</v>
      </c>
      <c r="D67" s="698">
        <f t="shared" si="2"/>
        <v>194</v>
      </c>
      <c r="E67" s="701"/>
      <c r="F67" s="701"/>
      <c r="G67" s="696">
        <f t="shared" si="4"/>
        <v>194</v>
      </c>
      <c r="H67" s="695"/>
      <c r="I67" s="696"/>
      <c r="J67" s="695"/>
      <c r="K67" s="697"/>
      <c r="L67" s="695"/>
      <c r="M67" s="697"/>
      <c r="N67" s="698"/>
      <c r="O67" s="697">
        <v>194</v>
      </c>
    </row>
    <row r="68" spans="1:15" ht="15.75" customHeight="1" x14ac:dyDescent="0.2">
      <c r="A68" s="690">
        <v>56</v>
      </c>
      <c r="B68" s="700" t="s">
        <v>154</v>
      </c>
      <c r="C68" s="694" t="s">
        <v>155</v>
      </c>
      <c r="D68" s="698">
        <f t="shared" si="2"/>
        <v>60</v>
      </c>
      <c r="E68" s="701"/>
      <c r="F68" s="701"/>
      <c r="G68" s="696">
        <f t="shared" si="4"/>
        <v>60</v>
      </c>
      <c r="H68" s="695"/>
      <c r="I68" s="696"/>
      <c r="J68" s="695"/>
      <c r="K68" s="697">
        <v>2</v>
      </c>
      <c r="L68" s="695"/>
      <c r="M68" s="697">
        <v>1</v>
      </c>
      <c r="N68" s="698"/>
      <c r="O68" s="697">
        <v>57</v>
      </c>
    </row>
    <row r="69" spans="1:15" ht="28.5" customHeight="1" x14ac:dyDescent="0.2">
      <c r="A69" s="690">
        <v>57</v>
      </c>
      <c r="B69" s="329" t="s">
        <v>158</v>
      </c>
      <c r="C69" s="694" t="s">
        <v>159</v>
      </c>
      <c r="D69" s="698"/>
      <c r="E69" s="701"/>
      <c r="F69" s="701"/>
      <c r="G69" s="696"/>
      <c r="H69" s="695"/>
      <c r="I69" s="696"/>
      <c r="J69" s="695"/>
      <c r="K69" s="697"/>
      <c r="L69" s="695"/>
      <c r="M69" s="697"/>
      <c r="N69" s="698"/>
      <c r="O69" s="697"/>
    </row>
    <row r="70" spans="1:15" ht="28.5" customHeight="1" x14ac:dyDescent="0.2">
      <c r="A70" s="690">
        <v>58</v>
      </c>
      <c r="B70" s="329" t="s">
        <v>160</v>
      </c>
      <c r="C70" s="694" t="s">
        <v>161</v>
      </c>
      <c r="D70" s="698"/>
      <c r="E70" s="701"/>
      <c r="F70" s="701"/>
      <c r="G70" s="696"/>
      <c r="H70" s="695"/>
      <c r="I70" s="696"/>
      <c r="J70" s="695"/>
      <c r="K70" s="697"/>
      <c r="L70" s="695"/>
      <c r="M70" s="697"/>
      <c r="N70" s="698"/>
      <c r="O70" s="697"/>
    </row>
    <row r="71" spans="1:15" x14ac:dyDescent="0.2">
      <c r="A71" s="690">
        <v>59</v>
      </c>
      <c r="B71" s="700" t="s">
        <v>162</v>
      </c>
      <c r="C71" s="694" t="s">
        <v>163</v>
      </c>
      <c r="D71" s="698">
        <f t="shared" si="2"/>
        <v>27644</v>
      </c>
      <c r="E71" s="701">
        <f t="shared" si="3"/>
        <v>27644</v>
      </c>
      <c r="F71" s="701">
        <v>925</v>
      </c>
      <c r="G71" s="696"/>
      <c r="H71" s="695">
        <v>3090</v>
      </c>
      <c r="I71" s="696"/>
      <c r="J71" s="695">
        <f>3422+2260</f>
        <v>5682</v>
      </c>
      <c r="K71" s="697"/>
      <c r="L71" s="695">
        <f>14241+2416</f>
        <v>16657</v>
      </c>
      <c r="M71" s="697"/>
      <c r="N71" s="698">
        <v>2215</v>
      </c>
      <c r="O71" s="697"/>
    </row>
    <row r="72" spans="1:15" x14ac:dyDescent="0.2">
      <c r="A72" s="690">
        <v>60</v>
      </c>
      <c r="B72" s="700" t="s">
        <v>164</v>
      </c>
      <c r="C72" s="694" t="s">
        <v>165</v>
      </c>
      <c r="D72" s="698">
        <f t="shared" si="2"/>
        <v>18570</v>
      </c>
      <c r="E72" s="701">
        <f t="shared" si="3"/>
        <v>18570</v>
      </c>
      <c r="F72" s="701">
        <v>60</v>
      </c>
      <c r="G72" s="696"/>
      <c r="H72" s="695">
        <v>1870</v>
      </c>
      <c r="I72" s="696"/>
      <c r="J72" s="695">
        <f>2144+1294</f>
        <v>3438</v>
      </c>
      <c r="K72" s="697"/>
      <c r="L72" s="695">
        <f>9830+1668</f>
        <v>11498</v>
      </c>
      <c r="M72" s="697"/>
      <c r="N72" s="698">
        <v>1764</v>
      </c>
      <c r="O72" s="697"/>
    </row>
    <row r="73" spans="1:15" x14ac:dyDescent="0.2">
      <c r="A73" s="690">
        <v>61</v>
      </c>
      <c r="B73" s="700" t="s">
        <v>166</v>
      </c>
      <c r="C73" s="694" t="s">
        <v>167</v>
      </c>
      <c r="D73" s="698">
        <f t="shared" si="2"/>
        <v>35845</v>
      </c>
      <c r="E73" s="701">
        <f t="shared" si="3"/>
        <v>35845</v>
      </c>
      <c r="F73" s="701">
        <v>245</v>
      </c>
      <c r="G73" s="696"/>
      <c r="H73" s="695">
        <v>4069</v>
      </c>
      <c r="I73" s="696"/>
      <c r="J73" s="695">
        <f>3925+2007</f>
        <v>5932</v>
      </c>
      <c r="K73" s="697"/>
      <c r="L73" s="695">
        <f>18541+3146</f>
        <v>21687</v>
      </c>
      <c r="M73" s="697"/>
      <c r="N73" s="698">
        <v>4157</v>
      </c>
      <c r="O73" s="697"/>
    </row>
    <row r="74" spans="1:15" s="735" customFormat="1" ht="36.75" customHeight="1" x14ac:dyDescent="0.2">
      <c r="A74" s="1106">
        <v>62</v>
      </c>
      <c r="B74" s="329" t="s">
        <v>170</v>
      </c>
      <c r="C74" s="699" t="s">
        <v>770</v>
      </c>
      <c r="D74" s="736">
        <f t="shared" si="2"/>
        <v>45</v>
      </c>
      <c r="E74" s="740">
        <f t="shared" si="3"/>
        <v>45</v>
      </c>
      <c r="F74" s="740"/>
      <c r="G74" s="741"/>
      <c r="H74" s="738"/>
      <c r="I74" s="741"/>
      <c r="J74" s="738"/>
      <c r="K74" s="742"/>
      <c r="L74" s="738"/>
      <c r="M74" s="742"/>
      <c r="N74" s="736">
        <f>9+24+12</f>
        <v>45</v>
      </c>
      <c r="O74" s="742"/>
    </row>
    <row r="75" spans="1:15" ht="27.75" customHeight="1" x14ac:dyDescent="0.2">
      <c r="A75" s="1108"/>
      <c r="B75" s="700" t="s">
        <v>168</v>
      </c>
      <c r="C75" s="694" t="s">
        <v>169</v>
      </c>
      <c r="D75" s="698">
        <f>H75+I75+J75+K75+L75+M75+N75+O75</f>
        <v>7</v>
      </c>
      <c r="E75" s="701">
        <f>H75+J75+L75+N75</f>
        <v>7</v>
      </c>
      <c r="F75" s="701"/>
      <c r="G75" s="696"/>
      <c r="H75" s="695"/>
      <c r="I75" s="696"/>
      <c r="J75" s="695"/>
      <c r="K75" s="697"/>
      <c r="L75" s="695"/>
      <c r="M75" s="697"/>
      <c r="N75" s="698">
        <v>7</v>
      </c>
      <c r="O75" s="697"/>
    </row>
    <row r="76" spans="1:15" ht="27.75" customHeight="1" x14ac:dyDescent="0.2">
      <c r="A76" s="1107"/>
      <c r="B76" s="700" t="s">
        <v>174</v>
      </c>
      <c r="C76" s="694" t="s">
        <v>175</v>
      </c>
      <c r="D76" s="698">
        <f>H76+I76+J76+K76+L76+M76+N76+O76</f>
        <v>3</v>
      </c>
      <c r="E76" s="701">
        <f>H76+J76+L76+N76</f>
        <v>3</v>
      </c>
      <c r="F76" s="701"/>
      <c r="G76" s="696"/>
      <c r="H76" s="695"/>
      <c r="I76" s="696"/>
      <c r="J76" s="695"/>
      <c r="K76" s="697"/>
      <c r="L76" s="695"/>
      <c r="M76" s="697"/>
      <c r="N76" s="698">
        <v>3</v>
      </c>
      <c r="O76" s="697"/>
    </row>
    <row r="77" spans="1:15" s="735" customFormat="1" ht="39.75" customHeight="1" x14ac:dyDescent="0.2">
      <c r="A77" s="1106">
        <v>63</v>
      </c>
      <c r="B77" s="704" t="s">
        <v>176</v>
      </c>
      <c r="C77" s="699" t="s">
        <v>773</v>
      </c>
      <c r="D77" s="736">
        <f>H77+I77+J77+K77+L77+M77+N77+O77</f>
        <v>10</v>
      </c>
      <c r="E77" s="740">
        <f>H77+J77+L77+N77</f>
        <v>10</v>
      </c>
      <c r="F77" s="740"/>
      <c r="G77" s="741"/>
      <c r="H77" s="738"/>
      <c r="I77" s="741"/>
      <c r="J77" s="738"/>
      <c r="K77" s="742"/>
      <c r="L77" s="738"/>
      <c r="M77" s="742"/>
      <c r="N77" s="736">
        <f>3+4+3</f>
        <v>10</v>
      </c>
      <c r="O77" s="742"/>
    </row>
    <row r="78" spans="1:15" ht="25.5" x14ac:dyDescent="0.2">
      <c r="A78" s="1108"/>
      <c r="B78" s="700" t="s">
        <v>172</v>
      </c>
      <c r="C78" s="694" t="s">
        <v>173</v>
      </c>
      <c r="D78" s="698">
        <f t="shared" ref="D78:D139" si="5">H78+I78+J78+K78+L78+M78+N78+O78</f>
        <v>0</v>
      </c>
      <c r="E78" s="701">
        <f t="shared" ref="E78:E139" si="6">H78+J78+L78+N78</f>
        <v>0</v>
      </c>
      <c r="F78" s="701"/>
      <c r="G78" s="696"/>
      <c r="H78" s="695"/>
      <c r="I78" s="696"/>
      <c r="J78" s="695"/>
      <c r="K78" s="697"/>
      <c r="L78" s="695"/>
      <c r="M78" s="697"/>
      <c r="N78" s="698">
        <f>7-4-3</f>
        <v>0</v>
      </c>
      <c r="O78" s="697"/>
    </row>
    <row r="79" spans="1:15" ht="25.5" x14ac:dyDescent="0.2">
      <c r="A79" s="1108"/>
      <c r="B79" s="329" t="s">
        <v>178</v>
      </c>
      <c r="C79" s="694" t="s">
        <v>179</v>
      </c>
      <c r="D79" s="698"/>
      <c r="E79" s="701"/>
      <c r="F79" s="701"/>
      <c r="G79" s="696"/>
      <c r="H79" s="695"/>
      <c r="I79" s="696"/>
      <c r="J79" s="695"/>
      <c r="K79" s="697"/>
      <c r="L79" s="695"/>
      <c r="M79" s="697"/>
      <c r="N79" s="698"/>
      <c r="O79" s="697"/>
    </row>
    <row r="80" spans="1:15" ht="25.5" x14ac:dyDescent="0.2">
      <c r="A80" s="1107"/>
      <c r="B80" s="329" t="s">
        <v>180</v>
      </c>
      <c r="C80" s="694" t="s">
        <v>181</v>
      </c>
      <c r="D80" s="698"/>
      <c r="E80" s="701"/>
      <c r="F80" s="701"/>
      <c r="G80" s="696"/>
      <c r="H80" s="695"/>
      <c r="I80" s="696"/>
      <c r="J80" s="695"/>
      <c r="K80" s="697"/>
      <c r="L80" s="695"/>
      <c r="M80" s="697"/>
      <c r="N80" s="698"/>
      <c r="O80" s="697"/>
    </row>
    <row r="81" spans="1:15" ht="15.75" customHeight="1" x14ac:dyDescent="0.2">
      <c r="A81" s="690">
        <v>64</v>
      </c>
      <c r="B81" s="338" t="s">
        <v>182</v>
      </c>
      <c r="C81" s="694" t="s">
        <v>183</v>
      </c>
      <c r="D81" s="698">
        <f t="shared" si="5"/>
        <v>22663</v>
      </c>
      <c r="E81" s="701">
        <f t="shared" si="6"/>
        <v>22558</v>
      </c>
      <c r="F81" s="701">
        <v>519</v>
      </c>
      <c r="G81" s="696">
        <f t="shared" ref="G81:G110" si="7">I81+K81+M81+O81</f>
        <v>105</v>
      </c>
      <c r="H81" s="695">
        <v>2112</v>
      </c>
      <c r="I81" s="696"/>
      <c r="J81" s="695">
        <f>2858+3058</f>
        <v>5916</v>
      </c>
      <c r="K81" s="697"/>
      <c r="L81" s="695">
        <f>11136+1889</f>
        <v>13025</v>
      </c>
      <c r="M81" s="697"/>
      <c r="N81" s="698">
        <v>1505</v>
      </c>
      <c r="O81" s="697">
        <v>105</v>
      </c>
    </row>
    <row r="82" spans="1:15" x14ac:dyDescent="0.2">
      <c r="A82" s="690">
        <v>65</v>
      </c>
      <c r="B82" s="329" t="s">
        <v>184</v>
      </c>
      <c r="C82" s="694" t="s">
        <v>185</v>
      </c>
      <c r="D82" s="698">
        <f t="shared" si="5"/>
        <v>45690</v>
      </c>
      <c r="E82" s="701">
        <f t="shared" si="6"/>
        <v>45690</v>
      </c>
      <c r="F82" s="701">
        <v>505</v>
      </c>
      <c r="G82" s="696"/>
      <c r="H82" s="695">
        <v>4561</v>
      </c>
      <c r="I82" s="696"/>
      <c r="J82" s="695">
        <f>5222+4302</f>
        <v>9524</v>
      </c>
      <c r="K82" s="697"/>
      <c r="L82" s="695">
        <f>22654+3843</f>
        <v>26497</v>
      </c>
      <c r="M82" s="697"/>
      <c r="N82" s="698">
        <v>5108</v>
      </c>
      <c r="O82" s="697"/>
    </row>
    <row r="83" spans="1:15" x14ac:dyDescent="0.2">
      <c r="A83" s="690">
        <v>66</v>
      </c>
      <c r="B83" s="338" t="s">
        <v>186</v>
      </c>
      <c r="C83" s="694" t="s">
        <v>187</v>
      </c>
      <c r="D83" s="698">
        <f t="shared" si="5"/>
        <v>31013</v>
      </c>
      <c r="E83" s="701">
        <f t="shared" si="6"/>
        <v>31013</v>
      </c>
      <c r="F83" s="701">
        <v>662</v>
      </c>
      <c r="G83" s="696"/>
      <c r="H83" s="695">
        <v>3008</v>
      </c>
      <c r="I83" s="696"/>
      <c r="J83" s="695">
        <f>3330+2262</f>
        <v>5592</v>
      </c>
      <c r="K83" s="697"/>
      <c r="L83" s="695">
        <f>15449+2621</f>
        <v>18070</v>
      </c>
      <c r="M83" s="697"/>
      <c r="N83" s="698">
        <v>4343</v>
      </c>
      <c r="O83" s="697"/>
    </row>
    <row r="84" spans="1:15" s="735" customFormat="1" ht="27" customHeight="1" x14ac:dyDescent="0.2">
      <c r="A84" s="1106">
        <v>67</v>
      </c>
      <c r="B84" s="704" t="s">
        <v>188</v>
      </c>
      <c r="C84" s="699" t="s">
        <v>777</v>
      </c>
      <c r="D84" s="736">
        <f t="shared" si="5"/>
        <v>16923</v>
      </c>
      <c r="E84" s="740">
        <f t="shared" si="6"/>
        <v>16915</v>
      </c>
      <c r="F84" s="740">
        <v>623</v>
      </c>
      <c r="G84" s="741">
        <f t="shared" si="7"/>
        <v>8</v>
      </c>
      <c r="H84" s="738">
        <v>1750</v>
      </c>
      <c r="I84" s="741"/>
      <c r="J84" s="738">
        <f>2289+1423</f>
        <v>3712</v>
      </c>
      <c r="K84" s="742"/>
      <c r="L84" s="738">
        <f>8170+1386</f>
        <v>9556</v>
      </c>
      <c r="M84" s="742"/>
      <c r="N84" s="736">
        <v>1897</v>
      </c>
      <c r="O84" s="742">
        <f>0+5+3</f>
        <v>8</v>
      </c>
    </row>
    <row r="85" spans="1:15" x14ac:dyDescent="0.2">
      <c r="A85" s="1107"/>
      <c r="B85" s="338" t="s">
        <v>156</v>
      </c>
      <c r="C85" s="694" t="s">
        <v>157</v>
      </c>
      <c r="D85" s="698">
        <f t="shared" si="5"/>
        <v>3</v>
      </c>
      <c r="E85" s="701"/>
      <c r="F85" s="701"/>
      <c r="G85" s="696"/>
      <c r="H85" s="695"/>
      <c r="I85" s="696"/>
      <c r="J85" s="695"/>
      <c r="K85" s="697"/>
      <c r="L85" s="695"/>
      <c r="M85" s="697"/>
      <c r="N85" s="698"/>
      <c r="O85" s="697">
        <v>3</v>
      </c>
    </row>
    <row r="86" spans="1:15" x14ac:dyDescent="0.2">
      <c r="A86" s="690">
        <v>68</v>
      </c>
      <c r="B86" s="329" t="s">
        <v>190</v>
      </c>
      <c r="C86" s="694" t="s">
        <v>191</v>
      </c>
      <c r="D86" s="698">
        <f t="shared" si="5"/>
        <v>45272</v>
      </c>
      <c r="E86" s="701">
        <f t="shared" si="6"/>
        <v>45272</v>
      </c>
      <c r="F86" s="701">
        <v>3264</v>
      </c>
      <c r="G86" s="696"/>
      <c r="H86" s="695">
        <v>4764</v>
      </c>
      <c r="I86" s="696"/>
      <c r="J86" s="695">
        <f>6214+2126</f>
        <v>8340</v>
      </c>
      <c r="K86" s="697"/>
      <c r="L86" s="695">
        <f>24022+4075</f>
        <v>28097</v>
      </c>
      <c r="M86" s="697"/>
      <c r="N86" s="698">
        <v>4071</v>
      </c>
      <c r="O86" s="697"/>
    </row>
    <row r="87" spans="1:15" s="735" customFormat="1" ht="28.5" customHeight="1" x14ac:dyDescent="0.2">
      <c r="A87" s="1106">
        <v>69</v>
      </c>
      <c r="B87" s="704" t="s">
        <v>192</v>
      </c>
      <c r="C87" s="699" t="s">
        <v>772</v>
      </c>
      <c r="D87" s="736">
        <f t="shared" si="5"/>
        <v>138</v>
      </c>
      <c r="E87" s="740"/>
      <c r="F87" s="740"/>
      <c r="G87" s="741">
        <f t="shared" si="7"/>
        <v>138</v>
      </c>
      <c r="H87" s="738"/>
      <c r="I87" s="741"/>
      <c r="J87" s="738"/>
      <c r="K87" s="742"/>
      <c r="L87" s="738"/>
      <c r="M87" s="742"/>
      <c r="N87" s="736"/>
      <c r="O87" s="742">
        <f>80+38+20</f>
        <v>138</v>
      </c>
    </row>
    <row r="88" spans="1:15" ht="13.5" customHeight="1" x14ac:dyDescent="0.2">
      <c r="A88" s="1107"/>
      <c r="B88" s="329" t="s">
        <v>152</v>
      </c>
      <c r="C88" s="694" t="s">
        <v>153</v>
      </c>
      <c r="D88" s="698">
        <f t="shared" si="5"/>
        <v>20</v>
      </c>
      <c r="E88" s="701"/>
      <c r="F88" s="701"/>
      <c r="G88" s="696"/>
      <c r="H88" s="695"/>
      <c r="I88" s="696"/>
      <c r="J88" s="695"/>
      <c r="K88" s="697"/>
      <c r="L88" s="695"/>
      <c r="M88" s="697"/>
      <c r="N88" s="698"/>
      <c r="O88" s="697">
        <v>20</v>
      </c>
    </row>
    <row r="89" spans="1:15" x14ac:dyDescent="0.2">
      <c r="A89" s="690">
        <v>70</v>
      </c>
      <c r="B89" s="329" t="s">
        <v>194</v>
      </c>
      <c r="C89" s="694" t="s">
        <v>195</v>
      </c>
      <c r="D89" s="698">
        <f t="shared" si="5"/>
        <v>38617</v>
      </c>
      <c r="E89" s="701">
        <f t="shared" si="6"/>
        <v>38617</v>
      </c>
      <c r="F89" s="701">
        <v>925</v>
      </c>
      <c r="G89" s="696"/>
      <c r="H89" s="695">
        <v>3393</v>
      </c>
      <c r="I89" s="696"/>
      <c r="J89" s="695">
        <f>4129+2669</f>
        <v>6798</v>
      </c>
      <c r="K89" s="697"/>
      <c r="L89" s="695">
        <f>19057+3233</f>
        <v>22290</v>
      </c>
      <c r="M89" s="697"/>
      <c r="N89" s="698">
        <f>6836-700</f>
        <v>6136</v>
      </c>
      <c r="O89" s="697"/>
    </row>
    <row r="90" spans="1:15" x14ac:dyDescent="0.2">
      <c r="A90" s="690">
        <v>71</v>
      </c>
      <c r="B90" s="329" t="s">
        <v>196</v>
      </c>
      <c r="C90" s="694" t="s">
        <v>197</v>
      </c>
      <c r="D90" s="698"/>
      <c r="E90" s="701"/>
      <c r="F90" s="701"/>
      <c r="G90" s="696"/>
      <c r="H90" s="695"/>
      <c r="I90" s="696"/>
      <c r="J90" s="695"/>
      <c r="K90" s="697"/>
      <c r="L90" s="695"/>
      <c r="M90" s="697"/>
      <c r="N90" s="698"/>
      <c r="O90" s="697"/>
    </row>
    <row r="91" spans="1:15" x14ac:dyDescent="0.2">
      <c r="A91" s="690">
        <v>72</v>
      </c>
      <c r="B91" s="700" t="s">
        <v>30</v>
      </c>
      <c r="C91" s="694" t="s">
        <v>793</v>
      </c>
      <c r="D91" s="698"/>
      <c r="E91" s="701"/>
      <c r="F91" s="701"/>
      <c r="G91" s="696"/>
      <c r="H91" s="695"/>
      <c r="I91" s="696"/>
      <c r="J91" s="695"/>
      <c r="K91" s="697"/>
      <c r="L91" s="695"/>
      <c r="M91" s="697"/>
      <c r="N91" s="698"/>
      <c r="O91" s="697"/>
    </row>
    <row r="92" spans="1:15" s="735" customFormat="1" ht="25.5" x14ac:dyDescent="0.2">
      <c r="A92" s="1095">
        <v>73</v>
      </c>
      <c r="B92" s="1097" t="s">
        <v>199</v>
      </c>
      <c r="C92" s="745" t="s">
        <v>200</v>
      </c>
      <c r="D92" s="736">
        <f t="shared" si="5"/>
        <v>404</v>
      </c>
      <c r="E92" s="740">
        <f t="shared" si="6"/>
        <v>404</v>
      </c>
      <c r="F92" s="740">
        <v>346</v>
      </c>
      <c r="G92" s="741"/>
      <c r="H92" s="738">
        <v>36</v>
      </c>
      <c r="I92" s="741"/>
      <c r="J92" s="738">
        <f>2+2</f>
        <v>4</v>
      </c>
      <c r="K92" s="742"/>
      <c r="L92" s="738">
        <f>207+35</f>
        <v>242</v>
      </c>
      <c r="M92" s="742"/>
      <c r="N92" s="736">
        <v>122</v>
      </c>
      <c r="O92" s="697"/>
    </row>
    <row r="93" spans="1:15" ht="43.5" customHeight="1" x14ac:dyDescent="0.2">
      <c r="A93" s="1096"/>
      <c r="B93" s="1098"/>
      <c r="C93" s="694" t="s">
        <v>201</v>
      </c>
      <c r="D93" s="698">
        <f t="shared" si="5"/>
        <v>404</v>
      </c>
      <c r="E93" s="701">
        <f t="shared" si="6"/>
        <v>404</v>
      </c>
      <c r="F93" s="701">
        <v>346</v>
      </c>
      <c r="G93" s="696"/>
      <c r="H93" s="695">
        <v>36</v>
      </c>
      <c r="I93" s="696"/>
      <c r="J93" s="695">
        <f>2+2</f>
        <v>4</v>
      </c>
      <c r="K93" s="697"/>
      <c r="L93" s="695">
        <f>207+35</f>
        <v>242</v>
      </c>
      <c r="M93" s="697"/>
      <c r="N93" s="698">
        <v>122</v>
      </c>
      <c r="O93" s="697"/>
    </row>
    <row r="94" spans="1:15" ht="25.5" x14ac:dyDescent="0.2">
      <c r="A94" s="1096"/>
      <c r="B94" s="1098"/>
      <c r="C94" s="694" t="s">
        <v>202</v>
      </c>
      <c r="D94" s="698"/>
      <c r="E94" s="701"/>
      <c r="F94" s="701"/>
      <c r="G94" s="696"/>
      <c r="H94" s="695"/>
      <c r="I94" s="696"/>
      <c r="J94" s="695"/>
      <c r="K94" s="697"/>
      <c r="L94" s="695"/>
      <c r="M94" s="697"/>
      <c r="N94" s="698"/>
      <c r="O94" s="697"/>
    </row>
    <row r="95" spans="1:15" ht="45" customHeight="1" x14ac:dyDescent="0.2">
      <c r="A95" s="1096"/>
      <c r="B95" s="1099"/>
      <c r="C95" s="433" t="s">
        <v>203</v>
      </c>
      <c r="D95" s="698"/>
      <c r="E95" s="701"/>
      <c r="F95" s="701"/>
      <c r="G95" s="696"/>
      <c r="H95" s="695"/>
      <c r="I95" s="696"/>
      <c r="J95" s="695"/>
      <c r="K95" s="697"/>
      <c r="L95" s="695"/>
      <c r="M95" s="697"/>
      <c r="N95" s="698"/>
      <c r="O95" s="697"/>
    </row>
    <row r="96" spans="1:15" ht="25.5" x14ac:dyDescent="0.2">
      <c r="A96" s="690">
        <v>74</v>
      </c>
      <c r="B96" s="700" t="s">
        <v>204</v>
      </c>
      <c r="C96" s="694" t="s">
        <v>205</v>
      </c>
      <c r="D96" s="698"/>
      <c r="E96" s="701"/>
      <c r="F96" s="701"/>
      <c r="G96" s="696"/>
      <c r="H96" s="695"/>
      <c r="I96" s="696"/>
      <c r="J96" s="695"/>
      <c r="K96" s="697"/>
      <c r="L96" s="695"/>
      <c r="M96" s="697"/>
      <c r="N96" s="698"/>
      <c r="O96" s="697"/>
    </row>
    <row r="97" spans="1:15" x14ac:dyDescent="0.2">
      <c r="A97" s="690">
        <v>75</v>
      </c>
      <c r="B97" s="700" t="s">
        <v>206</v>
      </c>
      <c r="C97" s="694" t="s">
        <v>207</v>
      </c>
      <c r="D97" s="698">
        <f t="shared" si="5"/>
        <v>2175</v>
      </c>
      <c r="E97" s="701">
        <f t="shared" si="6"/>
        <v>2175</v>
      </c>
      <c r="F97" s="701">
        <v>293</v>
      </c>
      <c r="G97" s="696"/>
      <c r="H97" s="695"/>
      <c r="I97" s="696"/>
      <c r="J97" s="695">
        <f>192+321</f>
        <v>513</v>
      </c>
      <c r="K97" s="697"/>
      <c r="L97" s="695">
        <f>876+149</f>
        <v>1025</v>
      </c>
      <c r="M97" s="697"/>
      <c r="N97" s="698">
        <v>637</v>
      </c>
      <c r="O97" s="697"/>
    </row>
    <row r="98" spans="1:15" x14ac:dyDescent="0.2">
      <c r="A98" s="690">
        <v>76</v>
      </c>
      <c r="B98" s="338" t="s">
        <v>208</v>
      </c>
      <c r="C98" s="694" t="s">
        <v>209</v>
      </c>
      <c r="D98" s="698">
        <f t="shared" si="5"/>
        <v>11319</v>
      </c>
      <c r="E98" s="701">
        <f t="shared" si="6"/>
        <v>11319</v>
      </c>
      <c r="F98" s="701">
        <v>1751</v>
      </c>
      <c r="G98" s="696"/>
      <c r="H98" s="695">
        <v>920</v>
      </c>
      <c r="I98" s="696"/>
      <c r="J98" s="695">
        <f>1554+1341</f>
        <v>2895</v>
      </c>
      <c r="K98" s="697"/>
      <c r="L98" s="695">
        <f>5817+987</f>
        <v>6804</v>
      </c>
      <c r="M98" s="697"/>
      <c r="N98" s="698">
        <v>700</v>
      </c>
      <c r="O98" s="697"/>
    </row>
    <row r="99" spans="1:15" x14ac:dyDescent="0.2">
      <c r="A99" s="690">
        <v>77</v>
      </c>
      <c r="B99" s="700" t="s">
        <v>210</v>
      </c>
      <c r="C99" s="694" t="s">
        <v>211</v>
      </c>
      <c r="D99" s="698">
        <f t="shared" si="5"/>
        <v>4296</v>
      </c>
      <c r="E99" s="701">
        <f t="shared" si="6"/>
        <v>4296</v>
      </c>
      <c r="F99" s="701">
        <v>190</v>
      </c>
      <c r="G99" s="696"/>
      <c r="H99" s="695">
        <v>450</v>
      </c>
      <c r="I99" s="696"/>
      <c r="J99" s="695">
        <f>491+215</f>
        <v>706</v>
      </c>
      <c r="K99" s="697"/>
      <c r="L99" s="695">
        <f>2188+371</f>
        <v>2559</v>
      </c>
      <c r="M99" s="697"/>
      <c r="N99" s="698">
        <v>581</v>
      </c>
      <c r="O99" s="697"/>
    </row>
    <row r="100" spans="1:15" x14ac:dyDescent="0.2">
      <c r="A100" s="690">
        <v>78</v>
      </c>
      <c r="B100" s="338" t="s">
        <v>212</v>
      </c>
      <c r="C100" s="694" t="s">
        <v>213</v>
      </c>
      <c r="D100" s="698">
        <f t="shared" si="5"/>
        <v>4142</v>
      </c>
      <c r="E100" s="701">
        <f t="shared" si="6"/>
        <v>4132</v>
      </c>
      <c r="F100" s="701">
        <v>168</v>
      </c>
      <c r="G100" s="696">
        <f t="shared" si="7"/>
        <v>10</v>
      </c>
      <c r="H100" s="695">
        <v>359</v>
      </c>
      <c r="I100" s="696"/>
      <c r="J100" s="695">
        <f>516+130</f>
        <v>646</v>
      </c>
      <c r="K100" s="697"/>
      <c r="L100" s="695">
        <f>2411+409</f>
        <v>2820</v>
      </c>
      <c r="M100" s="697"/>
      <c r="N100" s="698">
        <v>307</v>
      </c>
      <c r="O100" s="697">
        <v>10</v>
      </c>
    </row>
    <row r="101" spans="1:15" x14ac:dyDescent="0.2">
      <c r="A101" s="690">
        <v>79</v>
      </c>
      <c r="B101" s="338" t="s">
        <v>214</v>
      </c>
      <c r="C101" s="694" t="s">
        <v>215</v>
      </c>
      <c r="D101" s="698">
        <f t="shared" si="5"/>
        <v>13756</v>
      </c>
      <c r="E101" s="701">
        <f t="shared" si="6"/>
        <v>13756</v>
      </c>
      <c r="F101" s="701">
        <v>1540</v>
      </c>
      <c r="G101" s="696"/>
      <c r="H101" s="695">
        <v>1272</v>
      </c>
      <c r="I101" s="696"/>
      <c r="J101" s="695">
        <f>1494+915</f>
        <v>2409</v>
      </c>
      <c r="K101" s="697"/>
      <c r="L101" s="695">
        <f>6135+1041</f>
        <v>7176</v>
      </c>
      <c r="M101" s="697"/>
      <c r="N101" s="698">
        <v>2899</v>
      </c>
      <c r="O101" s="697"/>
    </row>
    <row r="102" spans="1:15" x14ac:dyDescent="0.2">
      <c r="A102" s="690">
        <v>80</v>
      </c>
      <c r="B102" s="700" t="s">
        <v>216</v>
      </c>
      <c r="C102" s="694" t="s">
        <v>217</v>
      </c>
      <c r="D102" s="698">
        <f t="shared" si="5"/>
        <v>5961</v>
      </c>
      <c r="E102" s="701">
        <f t="shared" si="6"/>
        <v>5961</v>
      </c>
      <c r="F102" s="701">
        <v>925</v>
      </c>
      <c r="G102" s="696"/>
      <c r="H102" s="695">
        <v>459</v>
      </c>
      <c r="I102" s="696"/>
      <c r="J102" s="695">
        <f>675+684</f>
        <v>1359</v>
      </c>
      <c r="K102" s="697"/>
      <c r="L102" s="695">
        <f>2995+508</f>
        <v>3503</v>
      </c>
      <c r="M102" s="697"/>
      <c r="N102" s="698">
        <v>640</v>
      </c>
      <c r="O102" s="697"/>
    </row>
    <row r="103" spans="1:15" x14ac:dyDescent="0.2">
      <c r="A103" s="690">
        <v>81</v>
      </c>
      <c r="B103" s="329" t="s">
        <v>218</v>
      </c>
      <c r="C103" s="694" t="s">
        <v>219</v>
      </c>
      <c r="D103" s="698">
        <f t="shared" si="5"/>
        <v>13089</v>
      </c>
      <c r="E103" s="701">
        <f t="shared" si="6"/>
        <v>13039</v>
      </c>
      <c r="F103" s="701">
        <v>986</v>
      </c>
      <c r="G103" s="696">
        <f t="shared" si="7"/>
        <v>50</v>
      </c>
      <c r="H103" s="695">
        <v>1213</v>
      </c>
      <c r="I103" s="696"/>
      <c r="J103" s="695">
        <f>1919+733</f>
        <v>2652</v>
      </c>
      <c r="K103" s="697"/>
      <c r="L103" s="695">
        <f>6339+1075</f>
        <v>7414</v>
      </c>
      <c r="M103" s="697"/>
      <c r="N103" s="698">
        <v>1760</v>
      </c>
      <c r="O103" s="697">
        <v>50</v>
      </c>
    </row>
    <row r="104" spans="1:15" x14ac:dyDescent="0.2">
      <c r="A104" s="690">
        <v>82</v>
      </c>
      <c r="B104" s="329" t="s">
        <v>220</v>
      </c>
      <c r="C104" s="694" t="s">
        <v>221</v>
      </c>
      <c r="D104" s="698">
        <f t="shared" si="5"/>
        <v>13336</v>
      </c>
      <c r="E104" s="701">
        <f t="shared" si="6"/>
        <v>13336</v>
      </c>
      <c r="F104" s="701">
        <v>478</v>
      </c>
      <c r="G104" s="696"/>
      <c r="H104" s="695">
        <v>1076</v>
      </c>
      <c r="I104" s="696"/>
      <c r="J104" s="695">
        <f>1637+1668</f>
        <v>3305</v>
      </c>
      <c r="K104" s="697"/>
      <c r="L104" s="695">
        <f>6138+1041</f>
        <v>7179</v>
      </c>
      <c r="M104" s="697"/>
      <c r="N104" s="698">
        <v>1776</v>
      </c>
      <c r="O104" s="697"/>
    </row>
    <row r="105" spans="1:15" x14ac:dyDescent="0.2">
      <c r="A105" s="690">
        <v>83</v>
      </c>
      <c r="B105" s="338" t="s">
        <v>222</v>
      </c>
      <c r="C105" s="694" t="s">
        <v>223</v>
      </c>
      <c r="D105" s="698">
        <f t="shared" si="5"/>
        <v>4340</v>
      </c>
      <c r="E105" s="701">
        <f t="shared" si="6"/>
        <v>4326</v>
      </c>
      <c r="F105" s="701">
        <v>291</v>
      </c>
      <c r="G105" s="696">
        <f t="shared" si="7"/>
        <v>14</v>
      </c>
      <c r="H105" s="695">
        <v>419</v>
      </c>
      <c r="I105" s="696"/>
      <c r="J105" s="695">
        <f>481+241</f>
        <v>722</v>
      </c>
      <c r="K105" s="697"/>
      <c r="L105" s="695">
        <f>2229+378</f>
        <v>2607</v>
      </c>
      <c r="M105" s="697"/>
      <c r="N105" s="698">
        <v>578</v>
      </c>
      <c r="O105" s="697">
        <v>14</v>
      </c>
    </row>
    <row r="106" spans="1:15" x14ac:dyDescent="0.2">
      <c r="A106" s="690">
        <v>84</v>
      </c>
      <c r="B106" s="329" t="s">
        <v>224</v>
      </c>
      <c r="C106" s="694" t="s">
        <v>225</v>
      </c>
      <c r="D106" s="698">
        <f t="shared" si="5"/>
        <v>8051</v>
      </c>
      <c r="E106" s="701">
        <f t="shared" si="6"/>
        <v>8051</v>
      </c>
      <c r="F106" s="701">
        <v>340</v>
      </c>
      <c r="G106" s="696"/>
      <c r="H106" s="695">
        <v>754</v>
      </c>
      <c r="I106" s="696"/>
      <c r="J106" s="695">
        <f>1145+717</f>
        <v>1862</v>
      </c>
      <c r="K106" s="697"/>
      <c r="L106" s="695">
        <f>3783+642</f>
        <v>4425</v>
      </c>
      <c r="M106" s="697"/>
      <c r="N106" s="698">
        <v>1010</v>
      </c>
      <c r="O106" s="697"/>
    </row>
    <row r="107" spans="1:15" x14ac:dyDescent="0.2">
      <c r="A107" s="690">
        <v>85</v>
      </c>
      <c r="B107" s="329" t="s">
        <v>226</v>
      </c>
      <c r="C107" s="694" t="s">
        <v>227</v>
      </c>
      <c r="D107" s="698">
        <f t="shared" si="5"/>
        <v>6618</v>
      </c>
      <c r="E107" s="701">
        <f t="shared" si="6"/>
        <v>6588</v>
      </c>
      <c r="F107" s="701">
        <v>268</v>
      </c>
      <c r="G107" s="696">
        <f t="shared" si="7"/>
        <v>30</v>
      </c>
      <c r="H107" s="695">
        <v>467</v>
      </c>
      <c r="I107" s="696"/>
      <c r="J107" s="695">
        <f>893+709</f>
        <v>1602</v>
      </c>
      <c r="K107" s="697"/>
      <c r="L107" s="695">
        <f>3066+520</f>
        <v>3586</v>
      </c>
      <c r="M107" s="697">
        <v>1</v>
      </c>
      <c r="N107" s="698">
        <v>933</v>
      </c>
      <c r="O107" s="697">
        <v>29</v>
      </c>
    </row>
    <row r="108" spans="1:15" x14ac:dyDescent="0.2">
      <c r="A108" s="690">
        <v>86</v>
      </c>
      <c r="B108" s="700" t="s">
        <v>32</v>
      </c>
      <c r="C108" s="694" t="s">
        <v>33</v>
      </c>
      <c r="D108" s="698">
        <f t="shared" si="5"/>
        <v>5903</v>
      </c>
      <c r="E108" s="701">
        <f t="shared" si="6"/>
        <v>5901</v>
      </c>
      <c r="F108" s="701">
        <v>471</v>
      </c>
      <c r="G108" s="696">
        <f t="shared" si="7"/>
        <v>2</v>
      </c>
      <c r="H108" s="695">
        <f>593-593</f>
        <v>0</v>
      </c>
      <c r="I108" s="696"/>
      <c r="J108" s="695">
        <f>1062+469</f>
        <v>1531</v>
      </c>
      <c r="K108" s="697"/>
      <c r="L108" s="695">
        <f>3573+606</f>
        <v>4179</v>
      </c>
      <c r="M108" s="697"/>
      <c r="N108" s="698">
        <v>191</v>
      </c>
      <c r="O108" s="697">
        <v>2</v>
      </c>
    </row>
    <row r="109" spans="1:15" x14ac:dyDescent="0.2">
      <c r="A109" s="690">
        <v>87</v>
      </c>
      <c r="B109" s="338" t="s">
        <v>228</v>
      </c>
      <c r="C109" s="694" t="s">
        <v>229</v>
      </c>
      <c r="D109" s="698">
        <f t="shared" si="5"/>
        <v>4716</v>
      </c>
      <c r="E109" s="701">
        <f t="shared" si="6"/>
        <v>4716</v>
      </c>
      <c r="F109" s="701">
        <v>558</v>
      </c>
      <c r="G109" s="696"/>
      <c r="H109" s="695">
        <v>428</v>
      </c>
      <c r="I109" s="696"/>
      <c r="J109" s="695">
        <f>525+542</f>
        <v>1067</v>
      </c>
      <c r="K109" s="697"/>
      <c r="L109" s="695">
        <f>2220+377</f>
        <v>2597</v>
      </c>
      <c r="M109" s="697"/>
      <c r="N109" s="698">
        <v>624</v>
      </c>
      <c r="O109" s="697"/>
    </row>
    <row r="110" spans="1:15" x14ac:dyDescent="0.2">
      <c r="A110" s="690">
        <v>88</v>
      </c>
      <c r="B110" s="329" t="s">
        <v>230</v>
      </c>
      <c r="C110" s="694" t="s">
        <v>231</v>
      </c>
      <c r="D110" s="698">
        <f t="shared" si="5"/>
        <v>13494</v>
      </c>
      <c r="E110" s="701">
        <f t="shared" si="6"/>
        <v>13488</v>
      </c>
      <c r="F110" s="701">
        <v>1579</v>
      </c>
      <c r="G110" s="696">
        <f t="shared" si="7"/>
        <v>6</v>
      </c>
      <c r="H110" s="695">
        <v>1385</v>
      </c>
      <c r="I110" s="696"/>
      <c r="J110" s="695">
        <f>1440+919</f>
        <v>2359</v>
      </c>
      <c r="K110" s="697"/>
      <c r="L110" s="695">
        <f>6541+1110</f>
        <v>7651</v>
      </c>
      <c r="M110" s="697"/>
      <c r="N110" s="698">
        <v>2093</v>
      </c>
      <c r="O110" s="697">
        <v>6</v>
      </c>
    </row>
    <row r="111" spans="1:15" x14ac:dyDescent="0.2">
      <c r="A111" s="690">
        <v>89</v>
      </c>
      <c r="B111" s="329" t="s">
        <v>232</v>
      </c>
      <c r="C111" s="694" t="s">
        <v>233</v>
      </c>
      <c r="D111" s="698"/>
      <c r="E111" s="701"/>
      <c r="F111" s="701"/>
      <c r="G111" s="696"/>
      <c r="H111" s="695"/>
      <c r="I111" s="696"/>
      <c r="J111" s="695"/>
      <c r="K111" s="697"/>
      <c r="L111" s="695"/>
      <c r="M111" s="697"/>
      <c r="N111" s="698"/>
      <c r="O111" s="697"/>
    </row>
    <row r="112" spans="1:15" x14ac:dyDescent="0.2">
      <c r="A112" s="690">
        <v>90</v>
      </c>
      <c r="B112" s="329" t="s">
        <v>234</v>
      </c>
      <c r="C112" s="694" t="s">
        <v>235</v>
      </c>
      <c r="D112" s="698"/>
      <c r="E112" s="701"/>
      <c r="F112" s="701"/>
      <c r="G112" s="696"/>
      <c r="H112" s="695"/>
      <c r="I112" s="696"/>
      <c r="J112" s="695"/>
      <c r="K112" s="697"/>
      <c r="L112" s="695"/>
      <c r="M112" s="697"/>
      <c r="N112" s="698"/>
      <c r="O112" s="697"/>
    </row>
    <row r="113" spans="1:15" x14ac:dyDescent="0.2">
      <c r="A113" s="690">
        <v>91</v>
      </c>
      <c r="B113" s="338" t="s">
        <v>236</v>
      </c>
      <c r="C113" s="694" t="s">
        <v>237</v>
      </c>
      <c r="D113" s="698"/>
      <c r="E113" s="701"/>
      <c r="F113" s="701"/>
      <c r="G113" s="696"/>
      <c r="H113" s="695"/>
      <c r="I113" s="696"/>
      <c r="J113" s="695"/>
      <c r="K113" s="697"/>
      <c r="L113" s="695"/>
      <c r="M113" s="697"/>
      <c r="N113" s="698"/>
      <c r="O113" s="697"/>
    </row>
    <row r="114" spans="1:15" x14ac:dyDescent="0.2">
      <c r="A114" s="690">
        <v>92</v>
      </c>
      <c r="B114" s="338" t="s">
        <v>238</v>
      </c>
      <c r="C114" s="694" t="s">
        <v>239</v>
      </c>
      <c r="D114" s="698"/>
      <c r="E114" s="701"/>
      <c r="F114" s="701"/>
      <c r="G114" s="696"/>
      <c r="H114" s="695"/>
      <c r="I114" s="696"/>
      <c r="J114" s="695"/>
      <c r="K114" s="697"/>
      <c r="L114" s="695"/>
      <c r="M114" s="697"/>
      <c r="N114" s="698"/>
      <c r="O114" s="697"/>
    </row>
    <row r="115" spans="1:15" ht="13.5" customHeight="1" x14ac:dyDescent="0.2">
      <c r="A115" s="690">
        <v>93</v>
      </c>
      <c r="B115" s="338" t="s">
        <v>240</v>
      </c>
      <c r="C115" s="694" t="s">
        <v>241</v>
      </c>
      <c r="D115" s="698"/>
      <c r="E115" s="701"/>
      <c r="F115" s="701"/>
      <c r="G115" s="696"/>
      <c r="H115" s="695"/>
      <c r="I115" s="696"/>
      <c r="J115" s="695"/>
      <c r="K115" s="697"/>
      <c r="L115" s="695"/>
      <c r="M115" s="697"/>
      <c r="N115" s="698"/>
      <c r="O115" s="697"/>
    </row>
    <row r="116" spans="1:15" x14ac:dyDescent="0.2">
      <c r="A116" s="690">
        <v>94</v>
      </c>
      <c r="B116" s="338" t="s">
        <v>242</v>
      </c>
      <c r="C116" s="694" t="s">
        <v>243</v>
      </c>
      <c r="D116" s="698"/>
      <c r="E116" s="701"/>
      <c r="F116" s="701"/>
      <c r="G116" s="696"/>
      <c r="H116" s="695"/>
      <c r="I116" s="696"/>
      <c r="J116" s="695"/>
      <c r="K116" s="697"/>
      <c r="L116" s="695"/>
      <c r="M116" s="697"/>
      <c r="N116" s="698"/>
      <c r="O116" s="697"/>
    </row>
    <row r="117" spans="1:15" x14ac:dyDescent="0.2">
      <c r="A117" s="690">
        <v>95</v>
      </c>
      <c r="B117" s="338" t="s">
        <v>244</v>
      </c>
      <c r="C117" s="694" t="s">
        <v>245</v>
      </c>
      <c r="D117" s="698"/>
      <c r="E117" s="701"/>
      <c r="F117" s="701"/>
      <c r="G117" s="696"/>
      <c r="H117" s="695"/>
      <c r="I117" s="696"/>
      <c r="J117" s="695"/>
      <c r="K117" s="697"/>
      <c r="L117" s="695"/>
      <c r="M117" s="697"/>
      <c r="N117" s="698"/>
      <c r="O117" s="697"/>
    </row>
    <row r="118" spans="1:15" x14ac:dyDescent="0.2">
      <c r="A118" s="690">
        <v>96</v>
      </c>
      <c r="B118" s="746" t="s">
        <v>246</v>
      </c>
      <c r="C118" s="744" t="s">
        <v>247</v>
      </c>
      <c r="D118" s="698"/>
      <c r="E118" s="701"/>
      <c r="F118" s="701"/>
      <c r="G118" s="696"/>
      <c r="H118" s="695"/>
      <c r="I118" s="696"/>
      <c r="J118" s="695"/>
      <c r="K118" s="697"/>
      <c r="L118" s="695"/>
      <c r="M118" s="697"/>
      <c r="N118" s="698"/>
      <c r="O118" s="697"/>
    </row>
    <row r="119" spans="1:15" x14ac:dyDescent="0.2">
      <c r="A119" s="690">
        <v>97</v>
      </c>
      <c r="B119" s="700" t="s">
        <v>248</v>
      </c>
      <c r="C119" s="694" t="s">
        <v>249</v>
      </c>
      <c r="D119" s="698"/>
      <c r="E119" s="701"/>
      <c r="F119" s="701"/>
      <c r="G119" s="696"/>
      <c r="H119" s="695"/>
      <c r="I119" s="696"/>
      <c r="J119" s="695"/>
      <c r="K119" s="697"/>
      <c r="L119" s="695"/>
      <c r="M119" s="697"/>
      <c r="N119" s="698"/>
      <c r="O119" s="697"/>
    </row>
    <row r="120" spans="1:15" x14ac:dyDescent="0.2">
      <c r="A120" s="690">
        <v>98</v>
      </c>
      <c r="B120" s="338" t="s">
        <v>250</v>
      </c>
      <c r="C120" s="694" t="s">
        <v>251</v>
      </c>
      <c r="D120" s="698"/>
      <c r="E120" s="701"/>
      <c r="F120" s="701"/>
      <c r="G120" s="696"/>
      <c r="H120" s="695"/>
      <c r="I120" s="696"/>
      <c r="J120" s="695"/>
      <c r="K120" s="697"/>
      <c r="L120" s="695"/>
      <c r="M120" s="697"/>
      <c r="N120" s="698"/>
      <c r="O120" s="697"/>
    </row>
    <row r="121" spans="1:15" ht="13.5" customHeight="1" x14ac:dyDescent="0.2">
      <c r="A121" s="690">
        <v>99</v>
      </c>
      <c r="B121" s="329" t="s">
        <v>252</v>
      </c>
      <c r="C121" s="747" t="s">
        <v>253</v>
      </c>
      <c r="D121" s="698"/>
      <c r="E121" s="701"/>
      <c r="F121" s="701"/>
      <c r="G121" s="696"/>
      <c r="H121" s="695"/>
      <c r="I121" s="696"/>
      <c r="J121" s="695"/>
      <c r="K121" s="697"/>
      <c r="L121" s="695"/>
      <c r="M121" s="697"/>
      <c r="N121" s="698"/>
      <c r="O121" s="697"/>
    </row>
    <row r="122" spans="1:15" x14ac:dyDescent="0.2">
      <c r="A122" s="690">
        <v>100</v>
      </c>
      <c r="B122" s="338" t="s">
        <v>254</v>
      </c>
      <c r="C122" s="694" t="s">
        <v>255</v>
      </c>
      <c r="D122" s="698"/>
      <c r="E122" s="701"/>
      <c r="F122" s="701"/>
      <c r="G122" s="696"/>
      <c r="H122" s="695"/>
      <c r="I122" s="696"/>
      <c r="J122" s="695"/>
      <c r="K122" s="697"/>
      <c r="L122" s="695"/>
      <c r="M122" s="697"/>
      <c r="N122" s="698"/>
      <c r="O122" s="697"/>
    </row>
    <row r="123" spans="1:15" x14ac:dyDescent="0.2">
      <c r="A123" s="690">
        <v>101</v>
      </c>
      <c r="B123" s="700" t="s">
        <v>256</v>
      </c>
      <c r="C123" s="694" t="s">
        <v>257</v>
      </c>
      <c r="D123" s="698"/>
      <c r="E123" s="701"/>
      <c r="F123" s="701"/>
      <c r="G123" s="696"/>
      <c r="H123" s="695"/>
      <c r="I123" s="696"/>
      <c r="J123" s="695"/>
      <c r="K123" s="697"/>
      <c r="L123" s="695"/>
      <c r="M123" s="697"/>
      <c r="N123" s="698"/>
      <c r="O123" s="697"/>
    </row>
    <row r="124" spans="1:15" x14ac:dyDescent="0.2">
      <c r="A124" s="690">
        <v>102</v>
      </c>
      <c r="B124" s="329" t="s">
        <v>258</v>
      </c>
      <c r="C124" s="694" t="s">
        <v>259</v>
      </c>
      <c r="D124" s="698"/>
      <c r="E124" s="701"/>
      <c r="F124" s="701"/>
      <c r="G124" s="696"/>
      <c r="H124" s="695"/>
      <c r="I124" s="696"/>
      <c r="J124" s="695"/>
      <c r="K124" s="697"/>
      <c r="L124" s="695"/>
      <c r="M124" s="697"/>
      <c r="N124" s="698"/>
      <c r="O124" s="697"/>
    </row>
    <row r="125" spans="1:15" x14ac:dyDescent="0.2">
      <c r="A125" s="690">
        <v>103</v>
      </c>
      <c r="B125" s="326" t="s">
        <v>542</v>
      </c>
      <c r="C125" s="320" t="s">
        <v>543</v>
      </c>
      <c r="D125" s="698"/>
      <c r="E125" s="701"/>
      <c r="F125" s="701"/>
      <c r="G125" s="696"/>
      <c r="H125" s="695"/>
      <c r="I125" s="696"/>
      <c r="J125" s="695"/>
      <c r="K125" s="697"/>
      <c r="L125" s="695"/>
      <c r="M125" s="697"/>
      <c r="N125" s="698"/>
      <c r="O125" s="697"/>
    </row>
    <row r="126" spans="1:15" x14ac:dyDescent="0.2">
      <c r="A126" s="690">
        <v>104</v>
      </c>
      <c r="B126" s="700" t="s">
        <v>260</v>
      </c>
      <c r="C126" s="694" t="s">
        <v>261</v>
      </c>
      <c r="D126" s="698"/>
      <c r="E126" s="701"/>
      <c r="F126" s="701"/>
      <c r="G126" s="696"/>
      <c r="H126" s="695"/>
      <c r="I126" s="696"/>
      <c r="J126" s="695"/>
      <c r="K126" s="697"/>
      <c r="L126" s="695"/>
      <c r="M126" s="697"/>
      <c r="N126" s="698"/>
      <c r="O126" s="697"/>
    </row>
    <row r="127" spans="1:15" x14ac:dyDescent="0.2">
      <c r="A127" s="690">
        <v>105</v>
      </c>
      <c r="B127" s="338" t="s">
        <v>262</v>
      </c>
      <c r="C127" s="694" t="s">
        <v>263</v>
      </c>
      <c r="D127" s="698"/>
      <c r="E127" s="701"/>
      <c r="F127" s="701"/>
      <c r="G127" s="696"/>
      <c r="H127" s="695"/>
      <c r="I127" s="696"/>
      <c r="J127" s="695"/>
      <c r="K127" s="697"/>
      <c r="L127" s="695"/>
      <c r="M127" s="697"/>
      <c r="N127" s="698"/>
      <c r="O127" s="697"/>
    </row>
    <row r="128" spans="1:15" ht="25.5" x14ac:dyDescent="0.2">
      <c r="A128" s="690">
        <v>106</v>
      </c>
      <c r="B128" s="338" t="s">
        <v>264</v>
      </c>
      <c r="C128" s="705" t="s">
        <v>265</v>
      </c>
      <c r="D128" s="698"/>
      <c r="E128" s="701"/>
      <c r="F128" s="701"/>
      <c r="G128" s="696"/>
      <c r="H128" s="695"/>
      <c r="I128" s="696"/>
      <c r="J128" s="695"/>
      <c r="K128" s="697"/>
      <c r="L128" s="695"/>
      <c r="M128" s="697"/>
      <c r="N128" s="698"/>
      <c r="O128" s="697"/>
    </row>
    <row r="129" spans="1:15" x14ac:dyDescent="0.2">
      <c r="A129" s="690">
        <v>107</v>
      </c>
      <c r="B129" s="338" t="s">
        <v>266</v>
      </c>
      <c r="C129" s="694" t="s">
        <v>267</v>
      </c>
      <c r="D129" s="698"/>
      <c r="E129" s="701"/>
      <c r="F129" s="701"/>
      <c r="G129" s="696"/>
      <c r="H129" s="695"/>
      <c r="I129" s="696"/>
      <c r="J129" s="695"/>
      <c r="K129" s="697"/>
      <c r="L129" s="695"/>
      <c r="M129" s="697"/>
      <c r="N129" s="698"/>
      <c r="O129" s="697"/>
    </row>
    <row r="130" spans="1:15" x14ac:dyDescent="0.2">
      <c r="A130" s="690">
        <v>108</v>
      </c>
      <c r="B130" s="338" t="s">
        <v>268</v>
      </c>
      <c r="C130" s="694" t="s">
        <v>269</v>
      </c>
      <c r="D130" s="698">
        <f t="shared" si="5"/>
        <v>13007</v>
      </c>
      <c r="E130" s="701">
        <f t="shared" si="6"/>
        <v>13007</v>
      </c>
      <c r="F130" s="701"/>
      <c r="G130" s="696"/>
      <c r="H130" s="695">
        <f>12230+593+184</f>
        <v>13007</v>
      </c>
      <c r="I130" s="696"/>
      <c r="J130" s="695"/>
      <c r="K130" s="697"/>
      <c r="L130" s="695"/>
      <c r="M130" s="697"/>
      <c r="N130" s="698"/>
      <c r="O130" s="697"/>
    </row>
    <row r="131" spans="1:15" x14ac:dyDescent="0.2">
      <c r="A131" s="690">
        <v>109</v>
      </c>
      <c r="B131" s="338" t="s">
        <v>270</v>
      </c>
      <c r="C131" s="694" t="s">
        <v>271</v>
      </c>
      <c r="D131" s="698"/>
      <c r="E131" s="701"/>
      <c r="F131" s="701"/>
      <c r="G131" s="696"/>
      <c r="H131" s="695"/>
      <c r="I131" s="696"/>
      <c r="J131" s="695"/>
      <c r="K131" s="697"/>
      <c r="L131" s="695"/>
      <c r="M131" s="697"/>
      <c r="N131" s="698"/>
      <c r="O131" s="697"/>
    </row>
    <row r="132" spans="1:15" x14ac:dyDescent="0.2">
      <c r="A132" s="690">
        <v>110</v>
      </c>
      <c r="B132" s="329" t="s">
        <v>272</v>
      </c>
      <c r="C132" s="694" t="s">
        <v>273</v>
      </c>
      <c r="D132" s="698"/>
      <c r="E132" s="701"/>
      <c r="F132" s="701"/>
      <c r="G132" s="696"/>
      <c r="H132" s="695"/>
      <c r="I132" s="696"/>
      <c r="J132" s="695"/>
      <c r="K132" s="697"/>
      <c r="L132" s="695"/>
      <c r="M132" s="697"/>
      <c r="N132" s="698"/>
      <c r="O132" s="697"/>
    </row>
    <row r="133" spans="1:15" x14ac:dyDescent="0.2">
      <c r="A133" s="690">
        <v>111</v>
      </c>
      <c r="B133" s="329" t="s">
        <v>274</v>
      </c>
      <c r="C133" s="694" t="s">
        <v>275</v>
      </c>
      <c r="D133" s="698"/>
      <c r="E133" s="701"/>
      <c r="F133" s="701"/>
      <c r="G133" s="696"/>
      <c r="H133" s="695"/>
      <c r="I133" s="696"/>
      <c r="J133" s="695"/>
      <c r="K133" s="697"/>
      <c r="L133" s="695"/>
      <c r="M133" s="697"/>
      <c r="N133" s="698"/>
      <c r="O133" s="697"/>
    </row>
    <row r="134" spans="1:15" x14ac:dyDescent="0.2">
      <c r="A134" s="690">
        <v>112</v>
      </c>
      <c r="B134" s="329" t="s">
        <v>276</v>
      </c>
      <c r="C134" s="694" t="s">
        <v>277</v>
      </c>
      <c r="D134" s="698"/>
      <c r="E134" s="701"/>
      <c r="F134" s="701"/>
      <c r="G134" s="696"/>
      <c r="H134" s="695"/>
      <c r="I134" s="696"/>
      <c r="J134" s="695"/>
      <c r="K134" s="697"/>
      <c r="L134" s="695"/>
      <c r="M134" s="697"/>
      <c r="N134" s="698"/>
      <c r="O134" s="697"/>
    </row>
    <row r="135" spans="1:15" x14ac:dyDescent="0.2">
      <c r="A135" s="690">
        <v>113</v>
      </c>
      <c r="B135" s="338" t="s">
        <v>278</v>
      </c>
      <c r="C135" s="694" t="s">
        <v>279</v>
      </c>
      <c r="D135" s="698"/>
      <c r="E135" s="701"/>
      <c r="F135" s="701"/>
      <c r="G135" s="696"/>
      <c r="H135" s="695"/>
      <c r="I135" s="696"/>
      <c r="J135" s="695"/>
      <c r="K135" s="697"/>
      <c r="L135" s="695"/>
      <c r="M135" s="697"/>
      <c r="N135" s="698"/>
      <c r="O135" s="697"/>
    </row>
    <row r="136" spans="1:15" x14ac:dyDescent="0.2">
      <c r="A136" s="690">
        <v>114</v>
      </c>
      <c r="B136" s="338" t="s">
        <v>280</v>
      </c>
      <c r="C136" s="694" t="s">
        <v>281</v>
      </c>
      <c r="D136" s="698"/>
      <c r="E136" s="701"/>
      <c r="F136" s="701"/>
      <c r="G136" s="696"/>
      <c r="H136" s="695"/>
      <c r="I136" s="696"/>
      <c r="J136" s="695"/>
      <c r="K136" s="697"/>
      <c r="L136" s="695"/>
      <c r="M136" s="697"/>
      <c r="N136" s="698"/>
      <c r="O136" s="697"/>
    </row>
    <row r="137" spans="1:15" x14ac:dyDescent="0.2">
      <c r="A137" s="690">
        <v>115</v>
      </c>
      <c r="B137" s="338" t="s">
        <v>282</v>
      </c>
      <c r="C137" s="694" t="s">
        <v>783</v>
      </c>
      <c r="D137" s="698"/>
      <c r="E137" s="701"/>
      <c r="F137" s="701"/>
      <c r="G137" s="696"/>
      <c r="H137" s="695"/>
      <c r="I137" s="696"/>
      <c r="J137" s="695"/>
      <c r="K137" s="697"/>
      <c r="L137" s="695"/>
      <c r="M137" s="697"/>
      <c r="N137" s="698"/>
      <c r="O137" s="697"/>
    </row>
    <row r="138" spans="1:15" x14ac:dyDescent="0.2">
      <c r="A138" s="690">
        <v>116</v>
      </c>
      <c r="B138" s="329" t="s">
        <v>283</v>
      </c>
      <c r="C138" s="694" t="s">
        <v>284</v>
      </c>
      <c r="D138" s="698">
        <f t="shared" si="5"/>
        <v>19815</v>
      </c>
      <c r="E138" s="701">
        <f t="shared" si="6"/>
        <v>19815</v>
      </c>
      <c r="F138" s="701">
        <v>100</v>
      </c>
      <c r="G138" s="696"/>
      <c r="H138" s="695">
        <v>2264</v>
      </c>
      <c r="I138" s="696"/>
      <c r="J138" s="695">
        <f>2206+1378</f>
        <v>3584</v>
      </c>
      <c r="K138" s="697"/>
      <c r="L138" s="695">
        <f>9807+1664</f>
        <v>11471</v>
      </c>
      <c r="M138" s="697"/>
      <c r="N138" s="698">
        <v>2496</v>
      </c>
      <c r="O138" s="697"/>
    </row>
    <row r="139" spans="1:15" x14ac:dyDescent="0.2">
      <c r="A139" s="690">
        <v>117</v>
      </c>
      <c r="B139" s="700" t="s">
        <v>285</v>
      </c>
      <c r="C139" s="694" t="s">
        <v>750</v>
      </c>
      <c r="D139" s="698">
        <f t="shared" si="5"/>
        <v>24024</v>
      </c>
      <c r="E139" s="701">
        <f t="shared" si="6"/>
        <v>24024</v>
      </c>
      <c r="F139" s="701">
        <v>258</v>
      </c>
      <c r="G139" s="696"/>
      <c r="H139" s="695">
        <v>3284</v>
      </c>
      <c r="I139" s="696"/>
      <c r="J139" s="695">
        <f>3454+534</f>
        <v>3988</v>
      </c>
      <c r="K139" s="697"/>
      <c r="L139" s="695">
        <f>13782+2338</f>
        <v>16120</v>
      </c>
      <c r="M139" s="697"/>
      <c r="N139" s="698">
        <v>632</v>
      </c>
      <c r="O139" s="697"/>
    </row>
    <row r="140" spans="1:15" x14ac:dyDescent="0.2">
      <c r="A140" s="690">
        <v>118</v>
      </c>
      <c r="B140" s="338" t="s">
        <v>286</v>
      </c>
      <c r="C140" s="694" t="s">
        <v>287</v>
      </c>
      <c r="D140" s="698"/>
      <c r="E140" s="701"/>
      <c r="F140" s="701"/>
      <c r="G140" s="696"/>
      <c r="H140" s="695"/>
      <c r="I140" s="696"/>
      <c r="J140" s="695"/>
      <c r="K140" s="697"/>
      <c r="L140" s="695"/>
      <c r="M140" s="697"/>
      <c r="N140" s="698"/>
      <c r="O140" s="697"/>
    </row>
    <row r="141" spans="1:15" x14ac:dyDescent="0.2">
      <c r="A141" s="690">
        <v>119</v>
      </c>
      <c r="B141" s="329" t="s">
        <v>288</v>
      </c>
      <c r="C141" s="694" t="s">
        <v>289</v>
      </c>
      <c r="D141" s="698"/>
      <c r="E141" s="701"/>
      <c r="F141" s="701"/>
      <c r="G141" s="696"/>
      <c r="H141" s="695"/>
      <c r="I141" s="696"/>
      <c r="J141" s="695"/>
      <c r="K141" s="697"/>
      <c r="L141" s="695"/>
      <c r="M141" s="697"/>
      <c r="N141" s="698"/>
      <c r="O141" s="697"/>
    </row>
    <row r="142" spans="1:15" x14ac:dyDescent="0.2">
      <c r="A142" s="690">
        <v>120</v>
      </c>
      <c r="B142" s="338" t="s">
        <v>290</v>
      </c>
      <c r="C142" s="694" t="s">
        <v>291</v>
      </c>
      <c r="D142" s="698"/>
      <c r="E142" s="701"/>
      <c r="F142" s="701"/>
      <c r="G142" s="696"/>
      <c r="H142" s="695"/>
      <c r="I142" s="696"/>
      <c r="J142" s="695"/>
      <c r="K142" s="697"/>
      <c r="L142" s="695"/>
      <c r="M142" s="697"/>
      <c r="N142" s="698"/>
      <c r="O142" s="697"/>
    </row>
    <row r="143" spans="1:15" x14ac:dyDescent="0.2">
      <c r="A143" s="690">
        <v>121</v>
      </c>
      <c r="B143" s="647" t="s">
        <v>292</v>
      </c>
      <c r="C143" s="706" t="s">
        <v>293</v>
      </c>
      <c r="D143" s="698"/>
      <c r="E143" s="701"/>
      <c r="F143" s="701"/>
      <c r="G143" s="696"/>
      <c r="H143" s="695"/>
      <c r="I143" s="696"/>
      <c r="J143" s="695"/>
      <c r="K143" s="697"/>
      <c r="L143" s="695"/>
      <c r="M143" s="697"/>
      <c r="N143" s="698"/>
      <c r="O143" s="697"/>
    </row>
    <row r="144" spans="1:15" x14ac:dyDescent="0.2">
      <c r="A144" s="690">
        <v>122</v>
      </c>
      <c r="B144" s="648" t="s">
        <v>294</v>
      </c>
      <c r="C144" s="706" t="s">
        <v>295</v>
      </c>
      <c r="D144" s="698"/>
      <c r="E144" s="701"/>
      <c r="F144" s="701"/>
      <c r="G144" s="696"/>
      <c r="H144" s="695"/>
      <c r="I144" s="696"/>
      <c r="J144" s="695"/>
      <c r="K144" s="697"/>
      <c r="L144" s="695"/>
      <c r="M144" s="697"/>
      <c r="N144" s="698"/>
      <c r="O144" s="697"/>
    </row>
    <row r="145" spans="1:15" x14ac:dyDescent="0.2">
      <c r="A145" s="690">
        <v>123</v>
      </c>
      <c r="B145" s="650" t="s">
        <v>296</v>
      </c>
      <c r="C145" s="748" t="s">
        <v>683</v>
      </c>
      <c r="D145" s="698"/>
      <c r="E145" s="701"/>
      <c r="F145" s="701"/>
      <c r="G145" s="696"/>
      <c r="H145" s="695"/>
      <c r="I145" s="696"/>
      <c r="J145" s="695"/>
      <c r="K145" s="697"/>
      <c r="L145" s="695"/>
      <c r="M145" s="697"/>
      <c r="N145" s="698"/>
      <c r="O145" s="697"/>
    </row>
    <row r="146" spans="1:15" x14ac:dyDescent="0.2">
      <c r="A146" s="690">
        <v>124</v>
      </c>
      <c r="B146" s="707" t="s">
        <v>298</v>
      </c>
      <c r="C146" s="708" t="s">
        <v>299</v>
      </c>
      <c r="D146" s="698"/>
      <c r="E146" s="701"/>
      <c r="F146" s="701"/>
      <c r="G146" s="696"/>
      <c r="H146" s="695"/>
      <c r="I146" s="696"/>
      <c r="J146" s="695"/>
      <c r="K146" s="697"/>
      <c r="L146" s="695"/>
      <c r="M146" s="697"/>
      <c r="N146" s="698"/>
      <c r="O146" s="697"/>
    </row>
    <row r="147" spans="1:15" x14ac:dyDescent="0.2">
      <c r="A147" s="690">
        <v>125</v>
      </c>
      <c r="B147" s="709" t="s">
        <v>300</v>
      </c>
      <c r="C147" s="710" t="s">
        <v>301</v>
      </c>
      <c r="D147" s="698"/>
      <c r="E147" s="701"/>
      <c r="F147" s="701"/>
      <c r="G147" s="696"/>
      <c r="H147" s="695"/>
      <c r="I147" s="696"/>
      <c r="J147" s="695"/>
      <c r="K147" s="697"/>
      <c r="L147" s="695"/>
      <c r="M147" s="697"/>
      <c r="N147" s="698"/>
      <c r="O147" s="697"/>
    </row>
    <row r="148" spans="1:15" x14ac:dyDescent="0.2">
      <c r="A148" s="690">
        <v>126</v>
      </c>
      <c r="B148" s="711" t="s">
        <v>302</v>
      </c>
      <c r="C148" s="712" t="s">
        <v>303</v>
      </c>
      <c r="D148" s="698"/>
      <c r="E148" s="701"/>
      <c r="F148" s="701"/>
      <c r="G148" s="696"/>
      <c r="H148" s="695"/>
      <c r="I148" s="696"/>
      <c r="J148" s="695"/>
      <c r="K148" s="697"/>
      <c r="L148" s="695"/>
      <c r="M148" s="697"/>
      <c r="N148" s="698"/>
      <c r="O148" s="697"/>
    </row>
    <row r="149" spans="1:15" ht="13.5" thickBot="1" x14ac:dyDescent="0.25">
      <c r="A149" s="713">
        <v>127</v>
      </c>
      <c r="B149" s="388" t="s">
        <v>304</v>
      </c>
      <c r="C149" s="714" t="s">
        <v>305</v>
      </c>
      <c r="D149" s="749"/>
      <c r="E149" s="750"/>
      <c r="F149" s="750"/>
      <c r="G149" s="751"/>
      <c r="H149" s="752"/>
      <c r="I149" s="751"/>
      <c r="J149" s="752"/>
      <c r="K149" s="753"/>
      <c r="L149" s="752"/>
      <c r="M149" s="753"/>
      <c r="N149" s="749"/>
      <c r="O149" s="753"/>
    </row>
    <row r="150" spans="1:15" x14ac:dyDescent="0.2">
      <c r="D150" s="715"/>
      <c r="E150" s="715"/>
      <c r="F150" s="715"/>
      <c r="G150" s="715"/>
      <c r="H150" s="715"/>
      <c r="I150" s="715"/>
      <c r="J150" s="715"/>
      <c r="K150" s="715"/>
      <c r="L150" s="715"/>
      <c r="M150" s="715"/>
      <c r="N150" s="715"/>
      <c r="O150" s="715"/>
    </row>
    <row r="151" spans="1:15" x14ac:dyDescent="0.2">
      <c r="D151" s="715"/>
      <c r="E151" s="715"/>
      <c r="F151" s="715"/>
      <c r="G151" s="715"/>
      <c r="H151" s="715"/>
      <c r="I151" s="715"/>
      <c r="J151" s="715"/>
      <c r="K151" s="715"/>
      <c r="L151" s="715"/>
      <c r="M151" s="715"/>
      <c r="N151" s="715"/>
      <c r="O151" s="715"/>
    </row>
    <row r="152" spans="1:15" x14ac:dyDescent="0.2">
      <c r="D152" s="715"/>
      <c r="E152" s="715"/>
      <c r="F152" s="715"/>
      <c r="G152" s="715"/>
      <c r="H152" s="715"/>
      <c r="I152" s="715"/>
      <c r="J152" s="715"/>
      <c r="K152" s="715"/>
      <c r="L152" s="715"/>
      <c r="M152" s="715"/>
      <c r="N152" s="715"/>
      <c r="O152" s="715"/>
    </row>
    <row r="153" spans="1:15" x14ac:dyDescent="0.2">
      <c r="D153" s="715"/>
      <c r="E153" s="715"/>
      <c r="F153" s="715"/>
      <c r="G153" s="715"/>
      <c r="H153" s="715"/>
      <c r="I153" s="715"/>
      <c r="J153" s="715"/>
      <c r="K153" s="715"/>
      <c r="L153" s="715"/>
      <c r="M153" s="715"/>
      <c r="N153" s="715"/>
      <c r="O153" s="715"/>
    </row>
    <row r="155" spans="1:15" x14ac:dyDescent="0.2">
      <c r="D155" s="715"/>
      <c r="E155" s="715"/>
      <c r="F155" s="715"/>
      <c r="G155" s="715"/>
      <c r="H155" s="715"/>
      <c r="I155" s="715"/>
      <c r="J155" s="715"/>
      <c r="K155" s="715"/>
      <c r="L155" s="715"/>
      <c r="M155" s="715"/>
      <c r="N155" s="715"/>
      <c r="O155" s="715"/>
    </row>
  </sheetData>
  <mergeCells count="33">
    <mergeCell ref="N5:O5"/>
    <mergeCell ref="F6:F7"/>
    <mergeCell ref="H6:H7"/>
    <mergeCell ref="I6:I7"/>
    <mergeCell ref="J6:J7"/>
    <mergeCell ref="K6:K7"/>
    <mergeCell ref="L6:L7"/>
    <mergeCell ref="A92:A95"/>
    <mergeCell ref="B92:B95"/>
    <mergeCell ref="A11:C11"/>
    <mergeCell ref="A9:C9"/>
    <mergeCell ref="A10:C10"/>
    <mergeCell ref="A36:A37"/>
    <mergeCell ref="A74:A76"/>
    <mergeCell ref="A77:A80"/>
    <mergeCell ref="A87:A88"/>
    <mergeCell ref="A84:A85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L24" sqref="L24"/>
    </sheetView>
  </sheetViews>
  <sheetFormatPr defaultColWidth="9.140625" defaultRowHeight="12.75" x14ac:dyDescent="0.2"/>
  <cols>
    <col min="1" max="1" width="6.140625" style="310" customWidth="1"/>
    <col min="2" max="2" width="10.42578125" style="310" customWidth="1"/>
    <col min="3" max="3" width="50.7109375" style="310" customWidth="1"/>
    <col min="4" max="4" width="12.28515625" style="310" customWidth="1"/>
    <col min="5" max="5" width="11.28515625" style="310" customWidth="1"/>
    <col min="6" max="6" width="12.5703125" style="310" customWidth="1"/>
    <col min="7" max="7" width="16.28515625" style="310" customWidth="1"/>
    <col min="8" max="8" width="12.140625" style="310" customWidth="1"/>
    <col min="9" max="9" width="17.42578125" style="310" customWidth="1"/>
    <col min="10" max="10" width="9.140625" style="310"/>
    <col min="11" max="13" width="9.140625" style="311"/>
    <col min="14" max="16384" width="9.140625" style="310"/>
  </cols>
  <sheetData>
    <row r="1" spans="1:13" ht="25.5" customHeight="1" x14ac:dyDescent="0.2">
      <c r="A1" s="1115" t="s">
        <v>735</v>
      </c>
      <c r="B1" s="1115"/>
      <c r="C1" s="1115"/>
      <c r="D1" s="1115"/>
      <c r="E1" s="1115"/>
      <c r="F1" s="1115"/>
      <c r="G1" s="1115"/>
      <c r="H1" s="1115"/>
      <c r="I1" s="1116"/>
    </row>
    <row r="2" spans="1:13" s="312" customFormat="1" ht="14.25" customHeight="1" x14ac:dyDescent="0.2">
      <c r="A2" s="1114" t="s">
        <v>0</v>
      </c>
      <c r="B2" s="1114" t="s">
        <v>326</v>
      </c>
      <c r="C2" s="1114" t="s">
        <v>309</v>
      </c>
      <c r="D2" s="1114" t="s">
        <v>729</v>
      </c>
      <c r="E2" s="1114"/>
      <c r="F2" s="1114"/>
      <c r="G2" s="1114"/>
      <c r="H2" s="1114"/>
      <c r="I2" s="1114"/>
      <c r="K2" s="313"/>
      <c r="L2" s="313"/>
      <c r="M2" s="313"/>
    </row>
    <row r="3" spans="1:13" s="312" customFormat="1" ht="11.25" customHeight="1" x14ac:dyDescent="0.2">
      <c r="A3" s="1114"/>
      <c r="B3" s="1114"/>
      <c r="C3" s="1114"/>
      <c r="D3" s="1114" t="s">
        <v>730</v>
      </c>
      <c r="E3" s="1114"/>
      <c r="F3" s="1114"/>
      <c r="G3" s="1114"/>
      <c r="H3" s="1114"/>
      <c r="I3" s="1114"/>
      <c r="K3" s="313"/>
      <c r="L3" s="313"/>
      <c r="M3" s="313"/>
    </row>
    <row r="4" spans="1:13" s="312" customFormat="1" ht="12.75" customHeight="1" x14ac:dyDescent="0.2">
      <c r="A4" s="1114"/>
      <c r="B4" s="1114"/>
      <c r="C4" s="1114"/>
      <c r="D4" s="1114" t="s">
        <v>44</v>
      </c>
      <c r="E4" s="1114"/>
      <c r="F4" s="1117" t="s">
        <v>447</v>
      </c>
      <c r="G4" s="1117"/>
      <c r="H4" s="1117"/>
      <c r="I4" s="1117"/>
      <c r="K4" s="313"/>
      <c r="L4" s="313"/>
      <c r="M4" s="313"/>
    </row>
    <row r="5" spans="1:13" s="312" customFormat="1" ht="12.75" customHeight="1" x14ac:dyDescent="0.2">
      <c r="A5" s="1114"/>
      <c r="B5" s="1114"/>
      <c r="C5" s="1114"/>
      <c r="D5" s="1114"/>
      <c r="E5" s="1114"/>
      <c r="F5" s="1117" t="s">
        <v>672</v>
      </c>
      <c r="G5" s="1117"/>
      <c r="H5" s="1117" t="s">
        <v>673</v>
      </c>
      <c r="I5" s="1117"/>
      <c r="K5" s="313"/>
      <c r="L5" s="313"/>
      <c r="M5" s="313"/>
    </row>
    <row r="6" spans="1:13" s="312" customFormat="1" ht="26.25" customHeight="1" x14ac:dyDescent="0.2">
      <c r="A6" s="1114"/>
      <c r="B6" s="1114"/>
      <c r="C6" s="1114"/>
      <c r="D6" s="536" t="s">
        <v>731</v>
      </c>
      <c r="E6" s="537" t="s">
        <v>732</v>
      </c>
      <c r="F6" s="536" t="s">
        <v>731</v>
      </c>
      <c r="G6" s="536" t="s">
        <v>733</v>
      </c>
      <c r="H6" s="536" t="s">
        <v>731</v>
      </c>
      <c r="I6" s="536" t="s">
        <v>734</v>
      </c>
      <c r="K6" s="313"/>
      <c r="L6" s="313"/>
      <c r="M6" s="313"/>
    </row>
    <row r="7" spans="1:13" s="312" customFormat="1" ht="13.5" customHeight="1" x14ac:dyDescent="0.2">
      <c r="A7" s="537">
        <v>1</v>
      </c>
      <c r="B7" s="537">
        <v>2</v>
      </c>
      <c r="C7" s="537">
        <v>3</v>
      </c>
      <c r="D7" s="537">
        <v>4</v>
      </c>
      <c r="E7" s="537">
        <v>5</v>
      </c>
      <c r="F7" s="537">
        <v>6</v>
      </c>
      <c r="G7" s="537">
        <v>7</v>
      </c>
      <c r="H7" s="537">
        <v>8</v>
      </c>
      <c r="I7" s="537">
        <v>9</v>
      </c>
      <c r="K7" s="313"/>
      <c r="L7" s="313"/>
      <c r="M7" s="313"/>
    </row>
    <row r="8" spans="1:13" x14ac:dyDescent="0.2">
      <c r="A8" s="1111" t="s">
        <v>44</v>
      </c>
      <c r="B8" s="1111"/>
      <c r="C8" s="1111"/>
      <c r="D8" s="318">
        <f>SUM(D9:D146)-D89</f>
        <v>69267</v>
      </c>
      <c r="E8" s="318">
        <f>SUM(E9:E146)-E89</f>
        <v>282581</v>
      </c>
      <c r="F8" s="318">
        <f t="shared" ref="F8:I8" si="0">SUM(F9:F146)-F89</f>
        <v>3721</v>
      </c>
      <c r="G8" s="318">
        <f t="shared" si="0"/>
        <v>44652</v>
      </c>
      <c r="H8" s="318">
        <f t="shared" si="0"/>
        <v>65546</v>
      </c>
      <c r="I8" s="318">
        <f t="shared" si="0"/>
        <v>237929</v>
      </c>
    </row>
    <row r="9" spans="1:13" x14ac:dyDescent="0.2">
      <c r="A9" s="539">
        <v>1</v>
      </c>
      <c r="B9" s="314" t="s">
        <v>54</v>
      </c>
      <c r="C9" s="121" t="s">
        <v>55</v>
      </c>
      <c r="D9" s="315">
        <f>F9+H9</f>
        <v>440</v>
      </c>
      <c r="E9" s="315">
        <f>G9+I9</f>
        <v>1765</v>
      </c>
      <c r="F9" s="315">
        <v>20</v>
      </c>
      <c r="G9" s="315">
        <f>F9*12</f>
        <v>240</v>
      </c>
      <c r="H9" s="315">
        <v>420</v>
      </c>
      <c r="I9" s="315">
        <f>ROUND(H9*3.6299,0)</f>
        <v>1525</v>
      </c>
      <c r="J9" s="311"/>
    </row>
    <row r="10" spans="1:13" x14ac:dyDescent="0.2">
      <c r="A10" s="539">
        <v>2</v>
      </c>
      <c r="B10" s="316" t="s">
        <v>56</v>
      </c>
      <c r="C10" s="121" t="s">
        <v>57</v>
      </c>
      <c r="D10" s="315">
        <f t="shared" ref="D10:E72" si="1">F10+H10</f>
        <v>428</v>
      </c>
      <c r="E10" s="315">
        <f t="shared" si="1"/>
        <v>1696</v>
      </c>
      <c r="F10" s="315">
        <v>17</v>
      </c>
      <c r="G10" s="315">
        <f>F10*12</f>
        <v>204</v>
      </c>
      <c r="H10" s="315">
        <v>411</v>
      </c>
      <c r="I10" s="315">
        <f t="shared" ref="I10:I30" si="2">ROUND(H10*3.6299,0)</f>
        <v>1492</v>
      </c>
      <c r="J10" s="311"/>
    </row>
    <row r="11" spans="1:13" x14ac:dyDescent="0.2">
      <c r="A11" s="539">
        <v>3</v>
      </c>
      <c r="B11" s="540" t="s">
        <v>16</v>
      </c>
      <c r="C11" s="121" t="s">
        <v>17</v>
      </c>
      <c r="D11" s="315">
        <f t="shared" si="1"/>
        <v>1159</v>
      </c>
      <c r="E11" s="315">
        <f t="shared" si="1"/>
        <v>4634</v>
      </c>
      <c r="F11" s="315">
        <v>51</v>
      </c>
      <c r="G11" s="315">
        <f t="shared" ref="G11:G72" si="3">F11*12</f>
        <v>612</v>
      </c>
      <c r="H11" s="315">
        <v>1108</v>
      </c>
      <c r="I11" s="315">
        <f t="shared" si="2"/>
        <v>4022</v>
      </c>
      <c r="J11" s="311"/>
    </row>
    <row r="12" spans="1:13" x14ac:dyDescent="0.2">
      <c r="A12" s="539">
        <v>4</v>
      </c>
      <c r="B12" s="314" t="s">
        <v>58</v>
      </c>
      <c r="C12" s="121" t="s">
        <v>59</v>
      </c>
      <c r="D12" s="315">
        <f t="shared" si="1"/>
        <v>508</v>
      </c>
      <c r="E12" s="315">
        <f t="shared" si="1"/>
        <v>2045</v>
      </c>
      <c r="F12" s="315">
        <v>24</v>
      </c>
      <c r="G12" s="315">
        <f t="shared" si="3"/>
        <v>288</v>
      </c>
      <c r="H12" s="315">
        <v>484</v>
      </c>
      <c r="I12" s="315">
        <f t="shared" si="2"/>
        <v>1757</v>
      </c>
      <c r="J12" s="311"/>
    </row>
    <row r="13" spans="1:13" x14ac:dyDescent="0.2">
      <c r="A13" s="539">
        <v>5</v>
      </c>
      <c r="B13" s="314" t="s">
        <v>60</v>
      </c>
      <c r="C13" s="121" t="s">
        <v>61</v>
      </c>
      <c r="D13" s="315">
        <f t="shared" si="1"/>
        <v>474</v>
      </c>
      <c r="E13" s="315">
        <f t="shared" si="1"/>
        <v>1871</v>
      </c>
      <c r="F13" s="315">
        <v>18</v>
      </c>
      <c r="G13" s="315">
        <f t="shared" si="3"/>
        <v>216</v>
      </c>
      <c r="H13" s="315">
        <v>456</v>
      </c>
      <c r="I13" s="315">
        <f t="shared" si="2"/>
        <v>1655</v>
      </c>
      <c r="J13" s="311"/>
    </row>
    <row r="14" spans="1:13" x14ac:dyDescent="0.2">
      <c r="A14" s="539">
        <v>6</v>
      </c>
      <c r="B14" s="540" t="s">
        <v>18</v>
      </c>
      <c r="C14" s="121" t="s">
        <v>19</v>
      </c>
      <c r="D14" s="315">
        <f t="shared" si="1"/>
        <v>2135</v>
      </c>
      <c r="E14" s="315">
        <f t="shared" si="1"/>
        <v>8938</v>
      </c>
      <c r="F14" s="315">
        <v>142</v>
      </c>
      <c r="G14" s="315">
        <f t="shared" si="3"/>
        <v>1704</v>
      </c>
      <c r="H14" s="315">
        <v>1993</v>
      </c>
      <c r="I14" s="315">
        <f t="shared" si="2"/>
        <v>7234</v>
      </c>
      <c r="J14" s="311"/>
    </row>
    <row r="15" spans="1:13" x14ac:dyDescent="0.2">
      <c r="A15" s="539">
        <v>7</v>
      </c>
      <c r="B15" s="314" t="s">
        <v>62</v>
      </c>
      <c r="C15" s="121" t="s">
        <v>63</v>
      </c>
      <c r="D15" s="315">
        <f t="shared" si="1"/>
        <v>1015</v>
      </c>
      <c r="E15" s="315">
        <f t="shared" si="1"/>
        <v>4145</v>
      </c>
      <c r="F15" s="315">
        <v>55</v>
      </c>
      <c r="G15" s="315">
        <f t="shared" si="3"/>
        <v>660</v>
      </c>
      <c r="H15" s="315">
        <v>960</v>
      </c>
      <c r="I15" s="315">
        <f t="shared" si="2"/>
        <v>3485</v>
      </c>
      <c r="J15" s="311"/>
    </row>
    <row r="16" spans="1:13" x14ac:dyDescent="0.2">
      <c r="A16" s="539">
        <v>8</v>
      </c>
      <c r="B16" s="540" t="s">
        <v>64</v>
      </c>
      <c r="C16" s="121" t="s">
        <v>65</v>
      </c>
      <c r="D16" s="315">
        <f t="shared" si="1"/>
        <v>415</v>
      </c>
      <c r="E16" s="315">
        <f t="shared" si="1"/>
        <v>1699</v>
      </c>
      <c r="F16" s="315">
        <v>23</v>
      </c>
      <c r="G16" s="315">
        <f t="shared" si="3"/>
        <v>276</v>
      </c>
      <c r="H16" s="315">
        <v>392</v>
      </c>
      <c r="I16" s="315">
        <f t="shared" si="2"/>
        <v>1423</v>
      </c>
      <c r="J16" s="311"/>
    </row>
    <row r="17" spans="1:10" x14ac:dyDescent="0.2">
      <c r="A17" s="539">
        <v>9</v>
      </c>
      <c r="B17" s="540" t="s">
        <v>66</v>
      </c>
      <c r="C17" s="121" t="s">
        <v>67</v>
      </c>
      <c r="D17" s="315">
        <f t="shared" si="1"/>
        <v>543</v>
      </c>
      <c r="E17" s="315">
        <f t="shared" si="1"/>
        <v>2155</v>
      </c>
      <c r="F17" s="315">
        <v>22</v>
      </c>
      <c r="G17" s="315">
        <f t="shared" si="3"/>
        <v>264</v>
      </c>
      <c r="H17" s="315">
        <v>521</v>
      </c>
      <c r="I17" s="315">
        <f t="shared" si="2"/>
        <v>1891</v>
      </c>
      <c r="J17" s="311"/>
    </row>
    <row r="18" spans="1:10" s="311" customFormat="1" x14ac:dyDescent="0.2">
      <c r="A18" s="539">
        <v>10</v>
      </c>
      <c r="B18" s="540" t="s">
        <v>68</v>
      </c>
      <c r="C18" s="121" t="s">
        <v>69</v>
      </c>
      <c r="D18" s="315">
        <f t="shared" si="1"/>
        <v>634</v>
      </c>
      <c r="E18" s="315">
        <f t="shared" si="1"/>
        <v>2544</v>
      </c>
      <c r="F18" s="315">
        <v>29</v>
      </c>
      <c r="G18" s="315">
        <f t="shared" si="3"/>
        <v>348</v>
      </c>
      <c r="H18" s="315">
        <v>605</v>
      </c>
      <c r="I18" s="315">
        <f t="shared" si="2"/>
        <v>2196</v>
      </c>
    </row>
    <row r="19" spans="1:10" s="311" customFormat="1" x14ac:dyDescent="0.2">
      <c r="A19" s="539">
        <v>11</v>
      </c>
      <c r="B19" s="540" t="s">
        <v>70</v>
      </c>
      <c r="C19" s="121" t="s">
        <v>71</v>
      </c>
      <c r="D19" s="315">
        <f t="shared" si="1"/>
        <v>518</v>
      </c>
      <c r="E19" s="315">
        <f t="shared" si="1"/>
        <v>2006</v>
      </c>
      <c r="F19" s="315">
        <v>15</v>
      </c>
      <c r="G19" s="315">
        <f t="shared" si="3"/>
        <v>180</v>
      </c>
      <c r="H19" s="315">
        <v>503</v>
      </c>
      <c r="I19" s="315">
        <f t="shared" si="2"/>
        <v>1826</v>
      </c>
    </row>
    <row r="20" spans="1:10" s="311" customFormat="1" x14ac:dyDescent="0.2">
      <c r="A20" s="539">
        <v>12</v>
      </c>
      <c r="B20" s="540" t="s">
        <v>72</v>
      </c>
      <c r="C20" s="121" t="s">
        <v>73</v>
      </c>
      <c r="D20" s="315">
        <f t="shared" si="1"/>
        <v>916</v>
      </c>
      <c r="E20" s="315">
        <f t="shared" si="1"/>
        <v>3601</v>
      </c>
      <c r="F20" s="315">
        <v>33</v>
      </c>
      <c r="G20" s="315">
        <f t="shared" si="3"/>
        <v>396</v>
      </c>
      <c r="H20" s="315">
        <v>883</v>
      </c>
      <c r="I20" s="315">
        <f t="shared" si="2"/>
        <v>3205</v>
      </c>
    </row>
    <row r="21" spans="1:10" s="311" customFormat="1" x14ac:dyDescent="0.2">
      <c r="A21" s="539">
        <v>13</v>
      </c>
      <c r="B21" s="540" t="s">
        <v>74</v>
      </c>
      <c r="C21" s="121" t="s">
        <v>75</v>
      </c>
      <c r="D21" s="315"/>
      <c r="E21" s="315"/>
      <c r="F21" s="315"/>
      <c r="G21" s="315"/>
      <c r="H21" s="315"/>
      <c r="I21" s="315"/>
    </row>
    <row r="22" spans="1:10" s="311" customFormat="1" x14ac:dyDescent="0.2">
      <c r="A22" s="539">
        <v>14</v>
      </c>
      <c r="B22" s="540" t="s">
        <v>76</v>
      </c>
      <c r="C22" s="121" t="s">
        <v>77</v>
      </c>
      <c r="D22" s="315">
        <f t="shared" si="1"/>
        <v>558</v>
      </c>
      <c r="E22" s="315">
        <f t="shared" si="1"/>
        <v>2201</v>
      </c>
      <c r="F22" s="315">
        <v>21</v>
      </c>
      <c r="G22" s="315">
        <f t="shared" si="3"/>
        <v>252</v>
      </c>
      <c r="H22" s="315">
        <v>537</v>
      </c>
      <c r="I22" s="315">
        <f t="shared" si="2"/>
        <v>1949</v>
      </c>
    </row>
    <row r="23" spans="1:10" s="311" customFormat="1" x14ac:dyDescent="0.2">
      <c r="A23" s="539">
        <v>15</v>
      </c>
      <c r="B23" s="540" t="s">
        <v>78</v>
      </c>
      <c r="C23" s="121" t="s">
        <v>79</v>
      </c>
      <c r="D23" s="315">
        <f t="shared" si="1"/>
        <v>631</v>
      </c>
      <c r="E23" s="315">
        <f t="shared" si="1"/>
        <v>2508</v>
      </c>
      <c r="F23" s="315">
        <v>26</v>
      </c>
      <c r="G23" s="315">
        <f t="shared" si="3"/>
        <v>312</v>
      </c>
      <c r="H23" s="315">
        <v>605</v>
      </c>
      <c r="I23" s="315">
        <f t="shared" si="2"/>
        <v>2196</v>
      </c>
    </row>
    <row r="24" spans="1:10" s="311" customFormat="1" x14ac:dyDescent="0.2">
      <c r="A24" s="539">
        <v>16</v>
      </c>
      <c r="B24" s="540" t="s">
        <v>80</v>
      </c>
      <c r="C24" s="121" t="s">
        <v>81</v>
      </c>
      <c r="D24" s="315">
        <f t="shared" si="1"/>
        <v>768</v>
      </c>
      <c r="E24" s="315">
        <f t="shared" si="1"/>
        <v>3064</v>
      </c>
      <c r="F24" s="315">
        <v>33</v>
      </c>
      <c r="G24" s="315">
        <f t="shared" si="3"/>
        <v>396</v>
      </c>
      <c r="H24" s="315">
        <v>735</v>
      </c>
      <c r="I24" s="315">
        <f t="shared" si="2"/>
        <v>2668</v>
      </c>
    </row>
    <row r="25" spans="1:10" s="311" customFormat="1" x14ac:dyDescent="0.2">
      <c r="A25" s="539">
        <v>17</v>
      </c>
      <c r="B25" s="540" t="s">
        <v>20</v>
      </c>
      <c r="C25" s="121" t="s">
        <v>21</v>
      </c>
      <c r="D25" s="315">
        <f t="shared" si="1"/>
        <v>1602</v>
      </c>
      <c r="E25" s="315">
        <f t="shared" si="1"/>
        <v>6342</v>
      </c>
      <c r="F25" s="315">
        <v>63</v>
      </c>
      <c r="G25" s="315">
        <f t="shared" si="3"/>
        <v>756</v>
      </c>
      <c r="H25" s="315">
        <v>1539</v>
      </c>
      <c r="I25" s="315">
        <f t="shared" si="2"/>
        <v>5586</v>
      </c>
    </row>
    <row r="26" spans="1:10" s="311" customFormat="1" x14ac:dyDescent="0.2">
      <c r="A26" s="539">
        <v>18</v>
      </c>
      <c r="B26" s="314" t="s">
        <v>82</v>
      </c>
      <c r="C26" s="121" t="s">
        <v>83</v>
      </c>
      <c r="D26" s="315">
        <f t="shared" si="1"/>
        <v>295</v>
      </c>
      <c r="E26" s="315">
        <f t="shared" si="1"/>
        <v>1138</v>
      </c>
      <c r="F26" s="315">
        <v>8</v>
      </c>
      <c r="G26" s="315">
        <f t="shared" si="3"/>
        <v>96</v>
      </c>
      <c r="H26" s="315">
        <v>287</v>
      </c>
      <c r="I26" s="315">
        <f t="shared" si="2"/>
        <v>1042</v>
      </c>
    </row>
    <row r="27" spans="1:10" s="311" customFormat="1" x14ac:dyDescent="0.2">
      <c r="A27" s="539">
        <v>19</v>
      </c>
      <c r="B27" s="314" t="s">
        <v>84</v>
      </c>
      <c r="C27" s="121" t="s">
        <v>85</v>
      </c>
      <c r="D27" s="315">
        <f t="shared" si="1"/>
        <v>255</v>
      </c>
      <c r="E27" s="315">
        <f t="shared" si="1"/>
        <v>1026</v>
      </c>
      <c r="F27" s="315">
        <v>12</v>
      </c>
      <c r="G27" s="315">
        <f t="shared" si="3"/>
        <v>144</v>
      </c>
      <c r="H27" s="315">
        <v>243</v>
      </c>
      <c r="I27" s="315">
        <f t="shared" si="2"/>
        <v>882</v>
      </c>
    </row>
    <row r="28" spans="1:10" s="311" customFormat="1" x14ac:dyDescent="0.2">
      <c r="A28" s="539">
        <v>20</v>
      </c>
      <c r="B28" s="314" t="s">
        <v>86</v>
      </c>
      <c r="C28" s="121" t="s">
        <v>87</v>
      </c>
      <c r="D28" s="315">
        <f t="shared" si="1"/>
        <v>1197</v>
      </c>
      <c r="E28" s="315">
        <f t="shared" si="1"/>
        <v>4889</v>
      </c>
      <c r="F28" s="315">
        <v>65</v>
      </c>
      <c r="G28" s="315">
        <f t="shared" si="3"/>
        <v>780</v>
      </c>
      <c r="H28" s="315">
        <v>1132</v>
      </c>
      <c r="I28" s="315">
        <f t="shared" si="2"/>
        <v>4109</v>
      </c>
    </row>
    <row r="29" spans="1:10" s="311" customFormat="1" x14ac:dyDescent="0.2">
      <c r="A29" s="539">
        <v>21</v>
      </c>
      <c r="B29" s="314" t="s">
        <v>22</v>
      </c>
      <c r="C29" s="121" t="s">
        <v>23</v>
      </c>
      <c r="D29" s="315">
        <f t="shared" si="1"/>
        <v>736</v>
      </c>
      <c r="E29" s="315">
        <f t="shared" si="1"/>
        <v>3082</v>
      </c>
      <c r="F29" s="315">
        <v>49</v>
      </c>
      <c r="G29" s="315">
        <f t="shared" si="3"/>
        <v>588</v>
      </c>
      <c r="H29" s="315">
        <v>687</v>
      </c>
      <c r="I29" s="315">
        <f t="shared" si="2"/>
        <v>2494</v>
      </c>
    </row>
    <row r="30" spans="1:10" s="311" customFormat="1" x14ac:dyDescent="0.2">
      <c r="A30" s="539">
        <v>22</v>
      </c>
      <c r="B30" s="540" t="s">
        <v>24</v>
      </c>
      <c r="C30" s="121" t="s">
        <v>25</v>
      </c>
      <c r="D30" s="315">
        <f t="shared" si="1"/>
        <v>182</v>
      </c>
      <c r="E30" s="315">
        <f t="shared" si="1"/>
        <v>803</v>
      </c>
      <c r="F30" s="315">
        <v>17</v>
      </c>
      <c r="G30" s="315">
        <f t="shared" si="3"/>
        <v>204</v>
      </c>
      <c r="H30" s="315">
        <v>165</v>
      </c>
      <c r="I30" s="315">
        <f t="shared" si="2"/>
        <v>599</v>
      </c>
    </row>
    <row r="31" spans="1:10" s="311" customFormat="1" x14ac:dyDescent="0.2">
      <c r="A31" s="539">
        <v>23</v>
      </c>
      <c r="B31" s="540" t="s">
        <v>88</v>
      </c>
      <c r="C31" s="121" t="s">
        <v>89</v>
      </c>
      <c r="D31" s="315"/>
      <c r="E31" s="315"/>
      <c r="F31" s="315"/>
      <c r="G31" s="315"/>
      <c r="H31" s="315"/>
      <c r="I31" s="315"/>
    </row>
    <row r="32" spans="1:10" s="311" customFormat="1" x14ac:dyDescent="0.2">
      <c r="A32" s="539">
        <v>24</v>
      </c>
      <c r="B32" s="540" t="s">
        <v>90</v>
      </c>
      <c r="C32" s="121" t="s">
        <v>91</v>
      </c>
      <c r="D32" s="315"/>
      <c r="E32" s="315"/>
      <c r="F32" s="315"/>
      <c r="G32" s="315"/>
      <c r="H32" s="315"/>
      <c r="I32" s="315"/>
    </row>
    <row r="33" spans="1:9" s="311" customFormat="1" x14ac:dyDescent="0.2">
      <c r="A33" s="539">
        <v>25</v>
      </c>
      <c r="B33" s="314" t="s">
        <v>92</v>
      </c>
      <c r="C33" s="121" t="s">
        <v>93</v>
      </c>
      <c r="D33" s="315">
        <f t="shared" si="1"/>
        <v>5240</v>
      </c>
      <c r="E33" s="315">
        <f t="shared" si="1"/>
        <v>21431</v>
      </c>
      <c r="F33" s="315">
        <v>288</v>
      </c>
      <c r="G33" s="315">
        <f t="shared" si="3"/>
        <v>3456</v>
      </c>
      <c r="H33" s="315">
        <v>4952</v>
      </c>
      <c r="I33" s="315">
        <f t="shared" ref="I33" si="4">ROUND(H33*3.6299,0)</f>
        <v>17975</v>
      </c>
    </row>
    <row r="34" spans="1:9" s="311" customFormat="1" x14ac:dyDescent="0.2">
      <c r="A34" s="539">
        <v>26</v>
      </c>
      <c r="B34" s="540" t="s">
        <v>94</v>
      </c>
      <c r="C34" s="121" t="s">
        <v>95</v>
      </c>
      <c r="D34" s="315"/>
      <c r="E34" s="315"/>
      <c r="F34" s="315"/>
      <c r="G34" s="315"/>
      <c r="H34" s="315"/>
      <c r="I34" s="315"/>
    </row>
    <row r="35" spans="1:9" s="311" customFormat="1" x14ac:dyDescent="0.2">
      <c r="A35" s="539">
        <v>27</v>
      </c>
      <c r="B35" s="316" t="s">
        <v>96</v>
      </c>
      <c r="C35" s="121" t="s">
        <v>97</v>
      </c>
      <c r="D35" s="315"/>
      <c r="E35" s="315"/>
      <c r="F35" s="315"/>
      <c r="G35" s="315"/>
      <c r="H35" s="315"/>
      <c r="I35" s="315"/>
    </row>
    <row r="36" spans="1:9" s="311" customFormat="1" x14ac:dyDescent="0.2">
      <c r="A36" s="539">
        <v>28</v>
      </c>
      <c r="B36" s="316" t="s">
        <v>26</v>
      </c>
      <c r="C36" s="121" t="s">
        <v>27</v>
      </c>
      <c r="D36" s="315">
        <f t="shared" si="1"/>
        <v>1119</v>
      </c>
      <c r="E36" s="315">
        <f t="shared" si="1"/>
        <v>4631</v>
      </c>
      <c r="F36" s="315">
        <v>68</v>
      </c>
      <c r="G36" s="315">
        <f t="shared" si="3"/>
        <v>816</v>
      </c>
      <c r="H36" s="315">
        <v>1051</v>
      </c>
      <c r="I36" s="315">
        <f t="shared" ref="I36:I60" si="5">ROUND(H36*3.6299,0)</f>
        <v>3815</v>
      </c>
    </row>
    <row r="37" spans="1:9" s="311" customFormat="1" x14ac:dyDescent="0.2">
      <c r="A37" s="539">
        <v>29</v>
      </c>
      <c r="B37" s="314" t="s">
        <v>98</v>
      </c>
      <c r="C37" s="121" t="s">
        <v>99</v>
      </c>
      <c r="D37" s="315">
        <f t="shared" si="1"/>
        <v>1945</v>
      </c>
      <c r="E37" s="315">
        <f t="shared" si="1"/>
        <v>8090</v>
      </c>
      <c r="F37" s="315">
        <v>123</v>
      </c>
      <c r="G37" s="315">
        <f t="shared" si="3"/>
        <v>1476</v>
      </c>
      <c r="H37" s="315">
        <v>1822</v>
      </c>
      <c r="I37" s="315">
        <f t="shared" si="5"/>
        <v>6614</v>
      </c>
    </row>
    <row r="38" spans="1:9" s="311" customFormat="1" x14ac:dyDescent="0.2">
      <c r="A38" s="539">
        <v>30</v>
      </c>
      <c r="B38" s="316" t="s">
        <v>100</v>
      </c>
      <c r="C38" s="121" t="s">
        <v>101</v>
      </c>
      <c r="D38" s="315">
        <f t="shared" si="1"/>
        <v>481</v>
      </c>
      <c r="E38" s="315">
        <f t="shared" si="1"/>
        <v>1922</v>
      </c>
      <c r="F38" s="315">
        <v>21</v>
      </c>
      <c r="G38" s="315">
        <f t="shared" si="3"/>
        <v>252</v>
      </c>
      <c r="H38" s="315">
        <v>460</v>
      </c>
      <c r="I38" s="315">
        <f t="shared" si="5"/>
        <v>1670</v>
      </c>
    </row>
    <row r="39" spans="1:9" s="311" customFormat="1" x14ac:dyDescent="0.2">
      <c r="A39" s="539">
        <v>31</v>
      </c>
      <c r="B39" s="540" t="s">
        <v>102</v>
      </c>
      <c r="C39" s="121" t="s">
        <v>103</v>
      </c>
      <c r="D39" s="315">
        <f t="shared" si="1"/>
        <v>1470</v>
      </c>
      <c r="E39" s="315">
        <f t="shared" si="1"/>
        <v>6031</v>
      </c>
      <c r="F39" s="315">
        <v>83</v>
      </c>
      <c r="G39" s="315">
        <f t="shared" si="3"/>
        <v>996</v>
      </c>
      <c r="H39" s="315">
        <v>1387</v>
      </c>
      <c r="I39" s="315">
        <f t="shared" si="5"/>
        <v>5035</v>
      </c>
    </row>
    <row r="40" spans="1:9" s="311" customFormat="1" x14ac:dyDescent="0.2">
      <c r="A40" s="539">
        <v>32</v>
      </c>
      <c r="B40" s="316" t="s">
        <v>104</v>
      </c>
      <c r="C40" s="121" t="s">
        <v>105</v>
      </c>
      <c r="D40" s="315">
        <f t="shared" si="1"/>
        <v>588</v>
      </c>
      <c r="E40" s="315">
        <f t="shared" si="1"/>
        <v>2411</v>
      </c>
      <c r="F40" s="315">
        <v>33</v>
      </c>
      <c r="G40" s="315">
        <f t="shared" si="3"/>
        <v>396</v>
      </c>
      <c r="H40" s="315">
        <v>555</v>
      </c>
      <c r="I40" s="315">
        <f t="shared" si="5"/>
        <v>2015</v>
      </c>
    </row>
    <row r="41" spans="1:9" s="311" customFormat="1" x14ac:dyDescent="0.2">
      <c r="A41" s="539">
        <v>33</v>
      </c>
      <c r="B41" s="314" t="s">
        <v>106</v>
      </c>
      <c r="C41" s="121" t="s">
        <v>107</v>
      </c>
      <c r="D41" s="315">
        <f t="shared" si="1"/>
        <v>1397</v>
      </c>
      <c r="E41" s="315">
        <f t="shared" si="1"/>
        <v>5799</v>
      </c>
      <c r="F41" s="315">
        <v>87</v>
      </c>
      <c r="G41" s="315">
        <f t="shared" si="3"/>
        <v>1044</v>
      </c>
      <c r="H41" s="315">
        <v>1310</v>
      </c>
      <c r="I41" s="315">
        <f t="shared" si="5"/>
        <v>4755</v>
      </c>
    </row>
    <row r="42" spans="1:9" s="311" customFormat="1" x14ac:dyDescent="0.2">
      <c r="A42" s="539">
        <v>34</v>
      </c>
      <c r="B42" s="317" t="s">
        <v>108</v>
      </c>
      <c r="C42" s="538" t="s">
        <v>109</v>
      </c>
      <c r="D42" s="315">
        <f t="shared" si="1"/>
        <v>596</v>
      </c>
      <c r="E42" s="315">
        <f t="shared" si="1"/>
        <v>2398</v>
      </c>
      <c r="F42" s="315">
        <v>28</v>
      </c>
      <c r="G42" s="315">
        <f t="shared" si="3"/>
        <v>336</v>
      </c>
      <c r="H42" s="315">
        <v>568</v>
      </c>
      <c r="I42" s="315">
        <f t="shared" si="5"/>
        <v>2062</v>
      </c>
    </row>
    <row r="43" spans="1:9" s="311" customFormat="1" x14ac:dyDescent="0.2">
      <c r="A43" s="539">
        <v>35</v>
      </c>
      <c r="B43" s="314" t="s">
        <v>110</v>
      </c>
      <c r="C43" s="121" t="s">
        <v>111</v>
      </c>
      <c r="D43" s="315">
        <f t="shared" si="1"/>
        <v>397</v>
      </c>
      <c r="E43" s="315">
        <f t="shared" si="1"/>
        <v>1592</v>
      </c>
      <c r="F43" s="315">
        <v>18</v>
      </c>
      <c r="G43" s="315">
        <f t="shared" si="3"/>
        <v>216</v>
      </c>
      <c r="H43" s="315">
        <v>379</v>
      </c>
      <c r="I43" s="315">
        <f t="shared" si="5"/>
        <v>1376</v>
      </c>
    </row>
    <row r="44" spans="1:9" s="311" customFormat="1" x14ac:dyDescent="0.2">
      <c r="A44" s="539">
        <v>36</v>
      </c>
      <c r="B44" s="314" t="s">
        <v>112</v>
      </c>
      <c r="C44" s="121" t="s">
        <v>113</v>
      </c>
      <c r="D44" s="315">
        <f t="shared" si="1"/>
        <v>803</v>
      </c>
      <c r="E44" s="315">
        <f t="shared" si="1"/>
        <v>3166</v>
      </c>
      <c r="F44" s="315">
        <v>30</v>
      </c>
      <c r="G44" s="315">
        <f t="shared" si="3"/>
        <v>360</v>
      </c>
      <c r="H44" s="315">
        <v>773</v>
      </c>
      <c r="I44" s="315">
        <f t="shared" si="5"/>
        <v>2806</v>
      </c>
    </row>
    <row r="45" spans="1:9" s="311" customFormat="1" x14ac:dyDescent="0.2">
      <c r="A45" s="539">
        <v>37</v>
      </c>
      <c r="B45" s="540" t="s">
        <v>114</v>
      </c>
      <c r="C45" s="121" t="s">
        <v>115</v>
      </c>
      <c r="D45" s="315">
        <f t="shared" si="1"/>
        <v>322</v>
      </c>
      <c r="E45" s="315">
        <f t="shared" si="1"/>
        <v>1278</v>
      </c>
      <c r="F45" s="315">
        <v>13</v>
      </c>
      <c r="G45" s="315">
        <f t="shared" si="3"/>
        <v>156</v>
      </c>
      <c r="H45" s="315">
        <v>309</v>
      </c>
      <c r="I45" s="315">
        <f t="shared" si="5"/>
        <v>1122</v>
      </c>
    </row>
    <row r="46" spans="1:9" s="311" customFormat="1" x14ac:dyDescent="0.2">
      <c r="A46" s="539">
        <v>38</v>
      </c>
      <c r="B46" s="316" t="s">
        <v>116</v>
      </c>
      <c r="C46" s="121" t="s">
        <v>117</v>
      </c>
      <c r="D46" s="315">
        <f t="shared" si="1"/>
        <v>333</v>
      </c>
      <c r="E46" s="315">
        <f t="shared" si="1"/>
        <v>1485</v>
      </c>
      <c r="F46" s="315">
        <v>33</v>
      </c>
      <c r="G46" s="315">
        <f t="shared" si="3"/>
        <v>396</v>
      </c>
      <c r="H46" s="315">
        <v>300</v>
      </c>
      <c r="I46" s="315">
        <f t="shared" si="5"/>
        <v>1089</v>
      </c>
    </row>
    <row r="47" spans="1:9" s="311" customFormat="1" x14ac:dyDescent="0.2">
      <c r="A47" s="539">
        <v>39</v>
      </c>
      <c r="B47" s="540" t="s">
        <v>28</v>
      </c>
      <c r="C47" s="121" t="s">
        <v>29</v>
      </c>
      <c r="D47" s="315">
        <f t="shared" si="1"/>
        <v>1814</v>
      </c>
      <c r="E47" s="315">
        <f t="shared" si="1"/>
        <v>7422</v>
      </c>
      <c r="F47" s="315">
        <v>100</v>
      </c>
      <c r="G47" s="315">
        <f t="shared" si="3"/>
        <v>1200</v>
      </c>
      <c r="H47" s="315">
        <v>1714</v>
      </c>
      <c r="I47" s="315">
        <f t="shared" si="5"/>
        <v>6222</v>
      </c>
    </row>
    <row r="48" spans="1:9" s="311" customFormat="1" x14ac:dyDescent="0.2">
      <c r="A48" s="539">
        <v>40</v>
      </c>
      <c r="B48" s="314" t="s">
        <v>118</v>
      </c>
      <c r="C48" s="121" t="s">
        <v>119</v>
      </c>
      <c r="D48" s="315">
        <f t="shared" si="1"/>
        <v>585</v>
      </c>
      <c r="E48" s="315">
        <f t="shared" si="1"/>
        <v>2391</v>
      </c>
      <c r="F48" s="315">
        <v>32</v>
      </c>
      <c r="G48" s="315">
        <f t="shared" si="3"/>
        <v>384</v>
      </c>
      <c r="H48" s="315">
        <v>553</v>
      </c>
      <c r="I48" s="315">
        <f t="shared" si="5"/>
        <v>2007</v>
      </c>
    </row>
    <row r="49" spans="1:9" s="311" customFormat="1" x14ac:dyDescent="0.2">
      <c r="A49" s="539">
        <v>41</v>
      </c>
      <c r="B49" s="314" t="s">
        <v>120</v>
      </c>
      <c r="C49" s="121" t="s">
        <v>121</v>
      </c>
      <c r="D49" s="315">
        <f t="shared" si="1"/>
        <v>1193</v>
      </c>
      <c r="E49" s="315">
        <f t="shared" si="1"/>
        <v>4992</v>
      </c>
      <c r="F49" s="315">
        <v>79</v>
      </c>
      <c r="G49" s="315">
        <f t="shared" si="3"/>
        <v>948</v>
      </c>
      <c r="H49" s="315">
        <v>1114</v>
      </c>
      <c r="I49" s="315">
        <f t="shared" si="5"/>
        <v>4044</v>
      </c>
    </row>
    <row r="50" spans="1:9" s="311" customFormat="1" x14ac:dyDescent="0.2">
      <c r="A50" s="539">
        <v>42</v>
      </c>
      <c r="B50" s="540" t="s">
        <v>122</v>
      </c>
      <c r="C50" s="121" t="s">
        <v>123</v>
      </c>
      <c r="D50" s="315">
        <f t="shared" si="1"/>
        <v>405</v>
      </c>
      <c r="E50" s="315">
        <f t="shared" si="1"/>
        <v>1638</v>
      </c>
      <c r="F50" s="315">
        <v>20</v>
      </c>
      <c r="G50" s="315">
        <f t="shared" si="3"/>
        <v>240</v>
      </c>
      <c r="H50" s="315">
        <v>385</v>
      </c>
      <c r="I50" s="315">
        <f t="shared" si="5"/>
        <v>1398</v>
      </c>
    </row>
    <row r="51" spans="1:9" s="311" customFormat="1" x14ac:dyDescent="0.2">
      <c r="A51" s="539">
        <v>43</v>
      </c>
      <c r="B51" s="316" t="s">
        <v>124</v>
      </c>
      <c r="C51" s="121" t="s">
        <v>125</v>
      </c>
      <c r="D51" s="315">
        <f t="shared" si="1"/>
        <v>486</v>
      </c>
      <c r="E51" s="315">
        <f t="shared" si="1"/>
        <v>2032</v>
      </c>
      <c r="F51" s="315">
        <v>32</v>
      </c>
      <c r="G51" s="315">
        <f t="shared" si="3"/>
        <v>384</v>
      </c>
      <c r="H51" s="315">
        <v>454</v>
      </c>
      <c r="I51" s="315">
        <f t="shared" si="5"/>
        <v>1648</v>
      </c>
    </row>
    <row r="52" spans="1:9" s="311" customFormat="1" x14ac:dyDescent="0.2">
      <c r="A52" s="539">
        <v>44</v>
      </c>
      <c r="B52" s="540" t="s">
        <v>126</v>
      </c>
      <c r="C52" s="121" t="s">
        <v>127</v>
      </c>
      <c r="D52" s="315">
        <f t="shared" si="1"/>
        <v>660</v>
      </c>
      <c r="E52" s="315">
        <f t="shared" si="1"/>
        <v>2689</v>
      </c>
      <c r="F52" s="315">
        <v>35</v>
      </c>
      <c r="G52" s="315">
        <f t="shared" si="3"/>
        <v>420</v>
      </c>
      <c r="H52" s="315">
        <v>625</v>
      </c>
      <c r="I52" s="315">
        <f t="shared" si="5"/>
        <v>2269</v>
      </c>
    </row>
    <row r="53" spans="1:9" s="311" customFormat="1" x14ac:dyDescent="0.2">
      <c r="A53" s="539">
        <v>45</v>
      </c>
      <c r="B53" s="316" t="s">
        <v>128</v>
      </c>
      <c r="C53" s="121" t="s">
        <v>129</v>
      </c>
      <c r="D53" s="315">
        <f t="shared" si="1"/>
        <v>650</v>
      </c>
      <c r="E53" s="315">
        <f t="shared" si="1"/>
        <v>2703</v>
      </c>
      <c r="F53" s="315">
        <v>41</v>
      </c>
      <c r="G53" s="315">
        <f t="shared" si="3"/>
        <v>492</v>
      </c>
      <c r="H53" s="315">
        <v>609</v>
      </c>
      <c r="I53" s="315">
        <f t="shared" si="5"/>
        <v>2211</v>
      </c>
    </row>
    <row r="54" spans="1:9" s="311" customFormat="1" x14ac:dyDescent="0.2">
      <c r="A54" s="539">
        <v>46</v>
      </c>
      <c r="B54" s="540" t="s">
        <v>130</v>
      </c>
      <c r="C54" s="121" t="s">
        <v>131</v>
      </c>
      <c r="D54" s="315">
        <f t="shared" si="1"/>
        <v>278</v>
      </c>
      <c r="E54" s="315">
        <f t="shared" si="1"/>
        <v>1126</v>
      </c>
      <c r="F54" s="315">
        <v>14</v>
      </c>
      <c r="G54" s="315">
        <f t="shared" si="3"/>
        <v>168</v>
      </c>
      <c r="H54" s="315">
        <v>264</v>
      </c>
      <c r="I54" s="315">
        <f t="shared" si="5"/>
        <v>958</v>
      </c>
    </row>
    <row r="55" spans="1:9" s="311" customFormat="1" x14ac:dyDescent="0.2">
      <c r="A55" s="539">
        <v>47</v>
      </c>
      <c r="B55" s="316" t="s">
        <v>132</v>
      </c>
      <c r="C55" s="121" t="s">
        <v>133</v>
      </c>
      <c r="D55" s="315">
        <f t="shared" si="1"/>
        <v>462</v>
      </c>
      <c r="E55" s="315">
        <f t="shared" si="1"/>
        <v>1853</v>
      </c>
      <c r="F55" s="315">
        <v>21</v>
      </c>
      <c r="G55" s="315">
        <f t="shared" si="3"/>
        <v>252</v>
      </c>
      <c r="H55" s="315">
        <v>441</v>
      </c>
      <c r="I55" s="315">
        <f t="shared" si="5"/>
        <v>1601</v>
      </c>
    </row>
    <row r="56" spans="1:9" s="311" customFormat="1" x14ac:dyDescent="0.2">
      <c r="A56" s="539">
        <v>48</v>
      </c>
      <c r="B56" s="540" t="s">
        <v>134</v>
      </c>
      <c r="C56" s="121" t="s">
        <v>135</v>
      </c>
      <c r="D56" s="315">
        <f t="shared" si="1"/>
        <v>990</v>
      </c>
      <c r="E56" s="315">
        <f t="shared" si="1"/>
        <v>3870</v>
      </c>
      <c r="F56" s="315">
        <v>33</v>
      </c>
      <c r="G56" s="315">
        <f t="shared" si="3"/>
        <v>396</v>
      </c>
      <c r="H56" s="315">
        <v>957</v>
      </c>
      <c r="I56" s="315">
        <f t="shared" si="5"/>
        <v>3474</v>
      </c>
    </row>
    <row r="57" spans="1:9" s="311" customFormat="1" x14ac:dyDescent="0.2">
      <c r="A57" s="539">
        <v>49</v>
      </c>
      <c r="B57" s="540" t="s">
        <v>136</v>
      </c>
      <c r="C57" s="121" t="s">
        <v>137</v>
      </c>
      <c r="D57" s="315">
        <f t="shared" si="1"/>
        <v>2391</v>
      </c>
      <c r="E57" s="315">
        <f t="shared" si="1"/>
        <v>9667</v>
      </c>
      <c r="F57" s="315">
        <v>118</v>
      </c>
      <c r="G57" s="315">
        <f t="shared" si="3"/>
        <v>1416</v>
      </c>
      <c r="H57" s="315">
        <v>2273</v>
      </c>
      <c r="I57" s="315">
        <f t="shared" si="5"/>
        <v>8251</v>
      </c>
    </row>
    <row r="58" spans="1:9" s="311" customFormat="1" x14ac:dyDescent="0.2">
      <c r="A58" s="539">
        <v>50</v>
      </c>
      <c r="B58" s="540" t="s">
        <v>138</v>
      </c>
      <c r="C58" s="121" t="s">
        <v>139</v>
      </c>
      <c r="D58" s="315">
        <f t="shared" si="1"/>
        <v>362</v>
      </c>
      <c r="E58" s="315">
        <f t="shared" si="1"/>
        <v>1523</v>
      </c>
      <c r="F58" s="315">
        <v>25</v>
      </c>
      <c r="G58" s="315">
        <f t="shared" si="3"/>
        <v>300</v>
      </c>
      <c r="H58" s="315">
        <v>337</v>
      </c>
      <c r="I58" s="315">
        <f t="shared" si="5"/>
        <v>1223</v>
      </c>
    </row>
    <row r="59" spans="1:9" s="311" customFormat="1" x14ac:dyDescent="0.2">
      <c r="A59" s="539">
        <v>51</v>
      </c>
      <c r="B59" s="540" t="s">
        <v>140</v>
      </c>
      <c r="C59" s="121" t="s">
        <v>141</v>
      </c>
      <c r="D59" s="315">
        <f t="shared" si="1"/>
        <v>436</v>
      </c>
      <c r="E59" s="315">
        <f t="shared" si="1"/>
        <v>1733</v>
      </c>
      <c r="F59" s="315">
        <v>18</v>
      </c>
      <c r="G59" s="315">
        <f t="shared" si="3"/>
        <v>216</v>
      </c>
      <c r="H59" s="315">
        <v>418</v>
      </c>
      <c r="I59" s="315">
        <f t="shared" si="5"/>
        <v>1517</v>
      </c>
    </row>
    <row r="60" spans="1:9" s="311" customFormat="1" x14ac:dyDescent="0.2">
      <c r="A60" s="539">
        <v>52</v>
      </c>
      <c r="B60" s="316" t="s">
        <v>142</v>
      </c>
      <c r="C60" s="121" t="s">
        <v>143</v>
      </c>
      <c r="D60" s="315">
        <f t="shared" si="1"/>
        <v>538</v>
      </c>
      <c r="E60" s="315">
        <f t="shared" si="1"/>
        <v>2145</v>
      </c>
      <c r="F60" s="315">
        <v>23</v>
      </c>
      <c r="G60" s="315">
        <f t="shared" si="3"/>
        <v>276</v>
      </c>
      <c r="H60" s="315">
        <v>515</v>
      </c>
      <c r="I60" s="315">
        <f t="shared" si="5"/>
        <v>1869</v>
      </c>
    </row>
    <row r="61" spans="1:9" s="311" customFormat="1" x14ac:dyDescent="0.2">
      <c r="A61" s="539">
        <v>53</v>
      </c>
      <c r="B61" s="540" t="s">
        <v>144</v>
      </c>
      <c r="C61" s="121" t="s">
        <v>145</v>
      </c>
      <c r="D61" s="315"/>
      <c r="E61" s="315"/>
      <c r="F61" s="315"/>
      <c r="G61" s="315"/>
      <c r="H61" s="315"/>
      <c r="I61" s="315"/>
    </row>
    <row r="62" spans="1:9" s="311" customFormat="1" x14ac:dyDescent="0.2">
      <c r="A62" s="539">
        <v>54</v>
      </c>
      <c r="B62" s="540" t="s">
        <v>146</v>
      </c>
      <c r="C62" s="121" t="s">
        <v>147</v>
      </c>
      <c r="D62" s="315"/>
      <c r="E62" s="315"/>
      <c r="F62" s="315"/>
      <c r="G62" s="315"/>
      <c r="H62" s="315"/>
      <c r="I62" s="315"/>
    </row>
    <row r="63" spans="1:9" s="311" customFormat="1" x14ac:dyDescent="0.2">
      <c r="A63" s="539">
        <v>55</v>
      </c>
      <c r="B63" s="540" t="s">
        <v>148</v>
      </c>
      <c r="C63" s="121" t="s">
        <v>149</v>
      </c>
      <c r="D63" s="315"/>
      <c r="E63" s="315"/>
      <c r="F63" s="315"/>
      <c r="G63" s="315"/>
      <c r="H63" s="315"/>
      <c r="I63" s="315"/>
    </row>
    <row r="64" spans="1:9" s="311" customFormat="1" x14ac:dyDescent="0.2">
      <c r="A64" s="539">
        <v>56</v>
      </c>
      <c r="B64" s="316" t="s">
        <v>150</v>
      </c>
      <c r="C64" s="121" t="s">
        <v>151</v>
      </c>
      <c r="D64" s="315"/>
      <c r="E64" s="315"/>
      <c r="F64" s="315"/>
      <c r="G64" s="315"/>
      <c r="H64" s="315"/>
      <c r="I64" s="315"/>
    </row>
    <row r="65" spans="1:9" s="311" customFormat="1" x14ac:dyDescent="0.2">
      <c r="A65" s="539">
        <v>57</v>
      </c>
      <c r="B65" s="314" t="s">
        <v>152</v>
      </c>
      <c r="C65" s="121" t="s">
        <v>153</v>
      </c>
      <c r="D65" s="315"/>
      <c r="E65" s="315"/>
      <c r="F65" s="315"/>
      <c r="G65" s="315"/>
      <c r="H65" s="315"/>
      <c r="I65" s="315"/>
    </row>
    <row r="66" spans="1:9" s="311" customFormat="1" x14ac:dyDescent="0.2">
      <c r="A66" s="539">
        <v>58</v>
      </c>
      <c r="B66" s="316" t="s">
        <v>154</v>
      </c>
      <c r="C66" s="121" t="s">
        <v>155</v>
      </c>
      <c r="D66" s="315"/>
      <c r="E66" s="315"/>
      <c r="F66" s="315"/>
      <c r="G66" s="315"/>
      <c r="H66" s="315"/>
      <c r="I66" s="315"/>
    </row>
    <row r="67" spans="1:9" s="311" customFormat="1" x14ac:dyDescent="0.2">
      <c r="A67" s="539">
        <v>59</v>
      </c>
      <c r="B67" s="540" t="s">
        <v>156</v>
      </c>
      <c r="C67" s="121" t="s">
        <v>157</v>
      </c>
      <c r="D67" s="315"/>
      <c r="E67" s="315"/>
      <c r="F67" s="315"/>
      <c r="G67" s="315"/>
      <c r="H67" s="315"/>
      <c r="I67" s="315"/>
    </row>
    <row r="68" spans="1:9" s="311" customFormat="1" ht="15" customHeight="1" x14ac:dyDescent="0.2">
      <c r="A68" s="539">
        <v>60</v>
      </c>
      <c r="B68" s="314" t="s">
        <v>158</v>
      </c>
      <c r="C68" s="121" t="s">
        <v>159</v>
      </c>
      <c r="D68" s="315"/>
      <c r="E68" s="315"/>
      <c r="F68" s="315"/>
      <c r="G68" s="315"/>
      <c r="H68" s="315"/>
      <c r="I68" s="315"/>
    </row>
    <row r="69" spans="1:9" s="311" customFormat="1" ht="15" customHeight="1" x14ac:dyDescent="0.2">
      <c r="A69" s="539">
        <v>61</v>
      </c>
      <c r="B69" s="314" t="s">
        <v>160</v>
      </c>
      <c r="C69" s="121" t="s">
        <v>161</v>
      </c>
      <c r="D69" s="315"/>
      <c r="E69" s="315"/>
      <c r="F69" s="315"/>
      <c r="G69" s="315"/>
      <c r="H69" s="315"/>
      <c r="I69" s="315"/>
    </row>
    <row r="70" spans="1:9" s="311" customFormat="1" x14ac:dyDescent="0.2">
      <c r="A70" s="539">
        <v>62</v>
      </c>
      <c r="B70" s="316" t="s">
        <v>162</v>
      </c>
      <c r="C70" s="121" t="s">
        <v>163</v>
      </c>
      <c r="D70" s="315">
        <f t="shared" si="1"/>
        <v>1706</v>
      </c>
      <c r="E70" s="315">
        <f t="shared" si="1"/>
        <v>7030</v>
      </c>
      <c r="F70" s="315">
        <v>100</v>
      </c>
      <c r="G70" s="315">
        <f t="shared" si="3"/>
        <v>1200</v>
      </c>
      <c r="H70" s="315">
        <v>1606</v>
      </c>
      <c r="I70" s="315">
        <f t="shared" ref="I70:I72" si="6">ROUND(H70*3.6299,0)</f>
        <v>5830</v>
      </c>
    </row>
    <row r="71" spans="1:9" s="311" customFormat="1" x14ac:dyDescent="0.2">
      <c r="A71" s="539">
        <v>63</v>
      </c>
      <c r="B71" s="316" t="s">
        <v>164</v>
      </c>
      <c r="C71" s="121" t="s">
        <v>165</v>
      </c>
      <c r="D71" s="315">
        <f t="shared" si="1"/>
        <v>1130</v>
      </c>
      <c r="E71" s="315">
        <f t="shared" si="1"/>
        <v>4629</v>
      </c>
      <c r="F71" s="315">
        <v>63</v>
      </c>
      <c r="G71" s="315">
        <f t="shared" si="3"/>
        <v>756</v>
      </c>
      <c r="H71" s="315">
        <v>1067</v>
      </c>
      <c r="I71" s="315">
        <f t="shared" si="6"/>
        <v>3873</v>
      </c>
    </row>
    <row r="72" spans="1:9" s="311" customFormat="1" x14ac:dyDescent="0.2">
      <c r="A72" s="539">
        <v>64</v>
      </c>
      <c r="B72" s="316" t="s">
        <v>166</v>
      </c>
      <c r="C72" s="121" t="s">
        <v>167</v>
      </c>
      <c r="D72" s="315">
        <f t="shared" si="1"/>
        <v>2322</v>
      </c>
      <c r="E72" s="315">
        <f t="shared" si="1"/>
        <v>9391</v>
      </c>
      <c r="F72" s="315">
        <v>115</v>
      </c>
      <c r="G72" s="315">
        <f t="shared" si="3"/>
        <v>1380</v>
      </c>
      <c r="H72" s="315">
        <v>2207</v>
      </c>
      <c r="I72" s="315">
        <f t="shared" si="6"/>
        <v>8011</v>
      </c>
    </row>
    <row r="73" spans="1:9" s="311" customFormat="1" x14ac:dyDescent="0.2">
      <c r="A73" s="539">
        <v>65</v>
      </c>
      <c r="B73" s="316" t="s">
        <v>168</v>
      </c>
      <c r="C73" s="121" t="s">
        <v>169</v>
      </c>
      <c r="D73" s="315"/>
      <c r="E73" s="315"/>
      <c r="F73" s="315"/>
      <c r="G73" s="315"/>
      <c r="H73" s="315"/>
      <c r="I73" s="315"/>
    </row>
    <row r="74" spans="1:9" s="311" customFormat="1" x14ac:dyDescent="0.2">
      <c r="A74" s="539">
        <v>66</v>
      </c>
      <c r="B74" s="314" t="s">
        <v>170</v>
      </c>
      <c r="C74" s="121" t="s">
        <v>171</v>
      </c>
      <c r="D74" s="315"/>
      <c r="E74" s="315"/>
      <c r="F74" s="315"/>
      <c r="G74" s="315"/>
      <c r="H74" s="315"/>
      <c r="I74" s="315"/>
    </row>
    <row r="75" spans="1:9" s="311" customFormat="1" x14ac:dyDescent="0.2">
      <c r="A75" s="539">
        <v>67</v>
      </c>
      <c r="B75" s="316" t="s">
        <v>172</v>
      </c>
      <c r="C75" s="121" t="s">
        <v>173</v>
      </c>
      <c r="D75" s="315"/>
      <c r="E75" s="315"/>
      <c r="F75" s="315"/>
      <c r="G75" s="315"/>
      <c r="H75" s="315"/>
      <c r="I75" s="315"/>
    </row>
    <row r="76" spans="1:9" s="311" customFormat="1" x14ac:dyDescent="0.2">
      <c r="A76" s="539">
        <v>68</v>
      </c>
      <c r="B76" s="316" t="s">
        <v>174</v>
      </c>
      <c r="C76" s="121" t="s">
        <v>175</v>
      </c>
      <c r="D76" s="315"/>
      <c r="E76" s="315"/>
      <c r="F76" s="315"/>
      <c r="G76" s="315"/>
      <c r="H76" s="315"/>
      <c r="I76" s="315"/>
    </row>
    <row r="77" spans="1:9" s="311" customFormat="1" x14ac:dyDescent="0.2">
      <c r="A77" s="539">
        <v>69</v>
      </c>
      <c r="B77" s="314" t="s">
        <v>176</v>
      </c>
      <c r="C77" s="121" t="s">
        <v>177</v>
      </c>
      <c r="D77" s="315"/>
      <c r="E77" s="315"/>
      <c r="F77" s="315"/>
      <c r="G77" s="315"/>
      <c r="H77" s="315"/>
      <c r="I77" s="315"/>
    </row>
    <row r="78" spans="1:9" s="311" customFormat="1" x14ac:dyDescent="0.2">
      <c r="A78" s="539">
        <v>70</v>
      </c>
      <c r="B78" s="314" t="s">
        <v>178</v>
      </c>
      <c r="C78" s="121" t="s">
        <v>179</v>
      </c>
      <c r="D78" s="315"/>
      <c r="E78" s="315"/>
      <c r="F78" s="315"/>
      <c r="G78" s="315"/>
      <c r="H78" s="315"/>
      <c r="I78" s="315"/>
    </row>
    <row r="79" spans="1:9" s="311" customFormat="1" x14ac:dyDescent="0.2">
      <c r="A79" s="539">
        <v>71</v>
      </c>
      <c r="B79" s="314" t="s">
        <v>180</v>
      </c>
      <c r="C79" s="121" t="s">
        <v>181</v>
      </c>
      <c r="D79" s="315"/>
      <c r="E79" s="315"/>
      <c r="F79" s="315"/>
      <c r="G79" s="315"/>
      <c r="H79" s="315"/>
      <c r="I79" s="315"/>
    </row>
    <row r="80" spans="1:9" s="311" customFormat="1" x14ac:dyDescent="0.2">
      <c r="A80" s="539">
        <v>72</v>
      </c>
      <c r="B80" s="540" t="s">
        <v>182</v>
      </c>
      <c r="C80" s="121" t="s">
        <v>183</v>
      </c>
      <c r="D80" s="315">
        <f t="shared" ref="D80:D136" si="7">F80+H80</f>
        <v>1297</v>
      </c>
      <c r="E80" s="315">
        <f t="shared" ref="E80:E136" si="8">G80+I80</f>
        <v>5411</v>
      </c>
      <c r="F80" s="315">
        <v>84</v>
      </c>
      <c r="G80" s="315">
        <f t="shared" ref="G80:G136" si="9">F80*12</f>
        <v>1008</v>
      </c>
      <c r="H80" s="315">
        <v>1213</v>
      </c>
      <c r="I80" s="315">
        <f t="shared" ref="I80:I84" si="10">ROUND(H80*3.6299,0)</f>
        <v>4403</v>
      </c>
    </row>
    <row r="81" spans="1:9" s="311" customFormat="1" x14ac:dyDescent="0.2">
      <c r="A81" s="539">
        <v>73</v>
      </c>
      <c r="B81" s="314" t="s">
        <v>184</v>
      </c>
      <c r="C81" s="121" t="s">
        <v>185</v>
      </c>
      <c r="D81" s="315">
        <f t="shared" si="7"/>
        <v>2658</v>
      </c>
      <c r="E81" s="315">
        <f t="shared" si="8"/>
        <v>10937</v>
      </c>
      <c r="F81" s="315">
        <v>154</v>
      </c>
      <c r="G81" s="315">
        <f t="shared" si="9"/>
        <v>1848</v>
      </c>
      <c r="H81" s="315">
        <v>2504</v>
      </c>
      <c r="I81" s="315">
        <f t="shared" si="10"/>
        <v>9089</v>
      </c>
    </row>
    <row r="82" spans="1:9" s="311" customFormat="1" x14ac:dyDescent="0.2">
      <c r="A82" s="539">
        <v>74</v>
      </c>
      <c r="B82" s="540" t="s">
        <v>186</v>
      </c>
      <c r="C82" s="121" t="s">
        <v>187</v>
      </c>
      <c r="D82" s="315">
        <f t="shared" si="7"/>
        <v>1925</v>
      </c>
      <c r="E82" s="315">
        <f t="shared" si="8"/>
        <v>7808</v>
      </c>
      <c r="F82" s="315">
        <v>98</v>
      </c>
      <c r="G82" s="315">
        <f t="shared" si="9"/>
        <v>1176</v>
      </c>
      <c r="H82" s="315">
        <v>1827</v>
      </c>
      <c r="I82" s="315">
        <f t="shared" si="10"/>
        <v>6632</v>
      </c>
    </row>
    <row r="83" spans="1:9" s="311" customFormat="1" x14ac:dyDescent="0.2">
      <c r="A83" s="539">
        <v>75</v>
      </c>
      <c r="B83" s="314" t="s">
        <v>188</v>
      </c>
      <c r="C83" s="121" t="s">
        <v>459</v>
      </c>
      <c r="D83" s="315">
        <f t="shared" si="7"/>
        <v>1085</v>
      </c>
      <c r="E83" s="315">
        <f t="shared" si="8"/>
        <v>4499</v>
      </c>
      <c r="F83" s="315">
        <v>67</v>
      </c>
      <c r="G83" s="315">
        <f t="shared" si="9"/>
        <v>804</v>
      </c>
      <c r="H83" s="315">
        <v>1018</v>
      </c>
      <c r="I83" s="315">
        <f t="shared" si="10"/>
        <v>3695</v>
      </c>
    </row>
    <row r="84" spans="1:9" s="311" customFormat="1" x14ac:dyDescent="0.2">
      <c r="A84" s="539">
        <v>76</v>
      </c>
      <c r="B84" s="314" t="s">
        <v>190</v>
      </c>
      <c r="C84" s="121" t="s">
        <v>191</v>
      </c>
      <c r="D84" s="315">
        <f t="shared" si="7"/>
        <v>3084</v>
      </c>
      <c r="E84" s="315">
        <f t="shared" si="8"/>
        <v>12726</v>
      </c>
      <c r="F84" s="315">
        <v>183</v>
      </c>
      <c r="G84" s="315">
        <f t="shared" si="9"/>
        <v>2196</v>
      </c>
      <c r="H84" s="315">
        <v>2901</v>
      </c>
      <c r="I84" s="315">
        <f t="shared" si="10"/>
        <v>10530</v>
      </c>
    </row>
    <row r="85" spans="1:9" s="311" customFormat="1" x14ac:dyDescent="0.2">
      <c r="A85" s="539">
        <v>77</v>
      </c>
      <c r="B85" s="314" t="s">
        <v>192</v>
      </c>
      <c r="C85" s="121" t="s">
        <v>193</v>
      </c>
      <c r="D85" s="315"/>
      <c r="E85" s="315"/>
      <c r="F85" s="315"/>
      <c r="G85" s="315"/>
      <c r="H85" s="315"/>
      <c r="I85" s="315"/>
    </row>
    <row r="86" spans="1:9" s="311" customFormat="1" x14ac:dyDescent="0.2">
      <c r="A86" s="539">
        <v>78</v>
      </c>
      <c r="B86" s="314" t="s">
        <v>194</v>
      </c>
      <c r="C86" s="121" t="s">
        <v>195</v>
      </c>
      <c r="D86" s="315">
        <f t="shared" si="7"/>
        <v>2502</v>
      </c>
      <c r="E86" s="315">
        <f t="shared" si="8"/>
        <v>10095</v>
      </c>
      <c r="F86" s="315">
        <v>121</v>
      </c>
      <c r="G86" s="315">
        <f t="shared" si="9"/>
        <v>1452</v>
      </c>
      <c r="H86" s="315">
        <v>2381</v>
      </c>
      <c r="I86" s="315">
        <f t="shared" ref="I86" si="11">ROUND(H86*3.6299,0)</f>
        <v>8643</v>
      </c>
    </row>
    <row r="87" spans="1:9" s="311" customFormat="1" x14ac:dyDescent="0.2">
      <c r="A87" s="539">
        <v>79</v>
      </c>
      <c r="B87" s="314" t="s">
        <v>196</v>
      </c>
      <c r="C87" s="121" t="s">
        <v>197</v>
      </c>
      <c r="D87" s="315"/>
      <c r="E87" s="315"/>
      <c r="F87" s="315"/>
      <c r="G87" s="315"/>
      <c r="H87" s="315"/>
      <c r="I87" s="315"/>
    </row>
    <row r="88" spans="1:9" s="311" customFormat="1" x14ac:dyDescent="0.2">
      <c r="A88" s="539">
        <v>80</v>
      </c>
      <c r="B88" s="316" t="s">
        <v>30</v>
      </c>
      <c r="C88" s="121" t="s">
        <v>198</v>
      </c>
      <c r="D88" s="315"/>
      <c r="E88" s="315"/>
      <c r="F88" s="315"/>
      <c r="G88" s="315"/>
      <c r="H88" s="315"/>
      <c r="I88" s="315"/>
    </row>
    <row r="89" spans="1:9" s="311" customFormat="1" ht="16.5" customHeight="1" x14ac:dyDescent="0.2">
      <c r="A89" s="1112">
        <v>81</v>
      </c>
      <c r="B89" s="1113" t="s">
        <v>199</v>
      </c>
      <c r="C89" s="541" t="s">
        <v>200</v>
      </c>
      <c r="D89" s="318">
        <f t="shared" si="7"/>
        <v>15</v>
      </c>
      <c r="E89" s="315">
        <f t="shared" si="8"/>
        <v>54</v>
      </c>
      <c r="F89" s="318"/>
      <c r="G89" s="315"/>
      <c r="H89" s="318">
        <v>15</v>
      </c>
      <c r="I89" s="315">
        <f t="shared" ref="I89:I90" si="12">ROUND(H89*3.6299,0)</f>
        <v>54</v>
      </c>
    </row>
    <row r="90" spans="1:9" s="311" customFormat="1" ht="28.5" customHeight="1" x14ac:dyDescent="0.2">
      <c r="A90" s="1112"/>
      <c r="B90" s="1113"/>
      <c r="C90" s="121" t="s">
        <v>201</v>
      </c>
      <c r="D90" s="315">
        <f t="shared" si="7"/>
        <v>15</v>
      </c>
      <c r="E90" s="315">
        <f t="shared" si="8"/>
        <v>54</v>
      </c>
      <c r="F90" s="315"/>
      <c r="G90" s="315"/>
      <c r="H90" s="315">
        <v>15</v>
      </c>
      <c r="I90" s="315">
        <f t="shared" si="12"/>
        <v>54</v>
      </c>
    </row>
    <row r="91" spans="1:9" s="311" customFormat="1" x14ac:dyDescent="0.2">
      <c r="A91" s="1112"/>
      <c r="B91" s="1113"/>
      <c r="C91" s="121" t="s">
        <v>202</v>
      </c>
      <c r="D91" s="315"/>
      <c r="E91" s="315"/>
      <c r="F91" s="315"/>
      <c r="G91" s="315"/>
      <c r="H91" s="315"/>
      <c r="I91" s="315"/>
    </row>
    <row r="92" spans="1:9" s="311" customFormat="1" ht="25.5" x14ac:dyDescent="0.2">
      <c r="A92" s="1112"/>
      <c r="B92" s="1113"/>
      <c r="C92" s="542" t="s">
        <v>203</v>
      </c>
      <c r="D92" s="315"/>
      <c r="E92" s="315"/>
      <c r="F92" s="315"/>
      <c r="G92" s="315"/>
      <c r="H92" s="315"/>
      <c r="I92" s="315"/>
    </row>
    <row r="93" spans="1:9" s="311" customFormat="1" x14ac:dyDescent="0.2">
      <c r="A93" s="539">
        <v>82</v>
      </c>
      <c r="B93" s="316" t="s">
        <v>204</v>
      </c>
      <c r="C93" s="121" t="s">
        <v>205</v>
      </c>
      <c r="D93" s="315"/>
      <c r="E93" s="315"/>
      <c r="F93" s="315"/>
      <c r="G93" s="315"/>
      <c r="H93" s="315"/>
      <c r="I93" s="315"/>
    </row>
    <row r="94" spans="1:9" s="311" customFormat="1" x14ac:dyDescent="0.2">
      <c r="A94" s="539">
        <v>83</v>
      </c>
      <c r="B94" s="316" t="s">
        <v>206</v>
      </c>
      <c r="C94" s="121" t="s">
        <v>207</v>
      </c>
      <c r="D94" s="315">
        <f t="shared" si="7"/>
        <v>134</v>
      </c>
      <c r="E94" s="315">
        <f t="shared" si="8"/>
        <v>537</v>
      </c>
      <c r="F94" s="315">
        <v>6</v>
      </c>
      <c r="G94" s="315">
        <f t="shared" si="9"/>
        <v>72</v>
      </c>
      <c r="H94" s="315">
        <v>128</v>
      </c>
      <c r="I94" s="315">
        <f t="shared" ref="I94:I107" si="13">ROUND(H94*3.6299,0)</f>
        <v>465</v>
      </c>
    </row>
    <row r="95" spans="1:9" s="311" customFormat="1" x14ac:dyDescent="0.2">
      <c r="A95" s="539">
        <v>84</v>
      </c>
      <c r="B95" s="540" t="s">
        <v>208</v>
      </c>
      <c r="C95" s="121" t="s">
        <v>209</v>
      </c>
      <c r="D95" s="315">
        <f t="shared" si="7"/>
        <v>701</v>
      </c>
      <c r="E95" s="315">
        <f t="shared" si="8"/>
        <v>2930</v>
      </c>
      <c r="F95" s="315">
        <v>46</v>
      </c>
      <c r="G95" s="315">
        <f t="shared" si="9"/>
        <v>552</v>
      </c>
      <c r="H95" s="315">
        <v>655</v>
      </c>
      <c r="I95" s="315">
        <f t="shared" si="13"/>
        <v>2378</v>
      </c>
    </row>
    <row r="96" spans="1:9" s="311" customFormat="1" x14ac:dyDescent="0.2">
      <c r="A96" s="539">
        <v>85</v>
      </c>
      <c r="B96" s="316" t="s">
        <v>210</v>
      </c>
      <c r="C96" s="121" t="s">
        <v>211</v>
      </c>
      <c r="D96" s="315">
        <f t="shared" si="7"/>
        <v>344</v>
      </c>
      <c r="E96" s="315">
        <f t="shared" si="8"/>
        <v>1366</v>
      </c>
      <c r="F96" s="315">
        <v>14</v>
      </c>
      <c r="G96" s="315">
        <f t="shared" si="9"/>
        <v>168</v>
      </c>
      <c r="H96" s="315">
        <v>330</v>
      </c>
      <c r="I96" s="315">
        <f t="shared" si="13"/>
        <v>1198</v>
      </c>
    </row>
    <row r="97" spans="1:9" s="311" customFormat="1" x14ac:dyDescent="0.2">
      <c r="A97" s="539">
        <v>86</v>
      </c>
      <c r="B97" s="540" t="s">
        <v>212</v>
      </c>
      <c r="C97" s="121" t="s">
        <v>213</v>
      </c>
      <c r="D97" s="315">
        <f t="shared" si="7"/>
        <v>367</v>
      </c>
      <c r="E97" s="315">
        <f t="shared" si="8"/>
        <v>1458</v>
      </c>
      <c r="F97" s="315">
        <v>15</v>
      </c>
      <c r="G97" s="315">
        <f t="shared" si="9"/>
        <v>180</v>
      </c>
      <c r="H97" s="315">
        <v>352</v>
      </c>
      <c r="I97" s="315">
        <f t="shared" si="13"/>
        <v>1278</v>
      </c>
    </row>
    <row r="98" spans="1:9" s="311" customFormat="1" x14ac:dyDescent="0.2">
      <c r="A98" s="539">
        <v>87</v>
      </c>
      <c r="B98" s="540" t="s">
        <v>214</v>
      </c>
      <c r="C98" s="121" t="s">
        <v>215</v>
      </c>
      <c r="D98" s="315">
        <f t="shared" si="7"/>
        <v>918</v>
      </c>
      <c r="E98" s="315">
        <f t="shared" si="8"/>
        <v>3701</v>
      </c>
      <c r="F98" s="315">
        <v>44</v>
      </c>
      <c r="G98" s="315">
        <f t="shared" si="9"/>
        <v>528</v>
      </c>
      <c r="H98" s="315">
        <v>874</v>
      </c>
      <c r="I98" s="315">
        <f t="shared" si="13"/>
        <v>3173</v>
      </c>
    </row>
    <row r="99" spans="1:9" s="311" customFormat="1" x14ac:dyDescent="0.2">
      <c r="A99" s="539">
        <v>88</v>
      </c>
      <c r="B99" s="316" t="s">
        <v>216</v>
      </c>
      <c r="C99" s="121" t="s">
        <v>217</v>
      </c>
      <c r="D99" s="315">
        <f t="shared" si="7"/>
        <v>458</v>
      </c>
      <c r="E99" s="315">
        <f t="shared" si="8"/>
        <v>1830</v>
      </c>
      <c r="F99" s="315">
        <v>20</v>
      </c>
      <c r="G99" s="315">
        <f t="shared" si="9"/>
        <v>240</v>
      </c>
      <c r="H99" s="315">
        <v>438</v>
      </c>
      <c r="I99" s="315">
        <f t="shared" si="13"/>
        <v>1590</v>
      </c>
    </row>
    <row r="100" spans="1:9" s="311" customFormat="1" x14ac:dyDescent="0.2">
      <c r="A100" s="539">
        <v>89</v>
      </c>
      <c r="B100" s="314" t="s">
        <v>218</v>
      </c>
      <c r="C100" s="121" t="s">
        <v>219</v>
      </c>
      <c r="D100" s="315">
        <f t="shared" si="7"/>
        <v>922</v>
      </c>
      <c r="E100" s="315">
        <f t="shared" si="8"/>
        <v>3815</v>
      </c>
      <c r="F100" s="315">
        <v>56</v>
      </c>
      <c r="G100" s="315">
        <f t="shared" si="9"/>
        <v>672</v>
      </c>
      <c r="H100" s="315">
        <v>866</v>
      </c>
      <c r="I100" s="315">
        <f t="shared" si="13"/>
        <v>3143</v>
      </c>
    </row>
    <row r="101" spans="1:9" s="311" customFormat="1" x14ac:dyDescent="0.2">
      <c r="A101" s="539">
        <v>90</v>
      </c>
      <c r="B101" s="314" t="s">
        <v>220</v>
      </c>
      <c r="C101" s="121" t="s">
        <v>221</v>
      </c>
      <c r="D101" s="315">
        <f t="shared" si="7"/>
        <v>781</v>
      </c>
      <c r="E101" s="315">
        <f t="shared" si="8"/>
        <v>3237</v>
      </c>
      <c r="F101" s="315">
        <v>48</v>
      </c>
      <c r="G101" s="315">
        <f t="shared" si="9"/>
        <v>576</v>
      </c>
      <c r="H101" s="315">
        <v>733</v>
      </c>
      <c r="I101" s="315">
        <f t="shared" si="13"/>
        <v>2661</v>
      </c>
    </row>
    <row r="102" spans="1:9" s="311" customFormat="1" x14ac:dyDescent="0.2">
      <c r="A102" s="539">
        <v>91</v>
      </c>
      <c r="B102" s="540" t="s">
        <v>222</v>
      </c>
      <c r="C102" s="121" t="s">
        <v>223</v>
      </c>
      <c r="D102" s="315">
        <f t="shared" si="7"/>
        <v>341</v>
      </c>
      <c r="E102" s="315">
        <f t="shared" si="8"/>
        <v>1355</v>
      </c>
      <c r="F102" s="315">
        <v>14</v>
      </c>
      <c r="G102" s="315">
        <f t="shared" si="9"/>
        <v>168</v>
      </c>
      <c r="H102" s="315">
        <v>327</v>
      </c>
      <c r="I102" s="315">
        <f t="shared" si="13"/>
        <v>1187</v>
      </c>
    </row>
    <row r="103" spans="1:9" s="311" customFormat="1" x14ac:dyDescent="0.2">
      <c r="A103" s="539">
        <v>92</v>
      </c>
      <c r="B103" s="314" t="s">
        <v>224</v>
      </c>
      <c r="C103" s="121" t="s">
        <v>225</v>
      </c>
      <c r="D103" s="315">
        <f t="shared" si="7"/>
        <v>621</v>
      </c>
      <c r="E103" s="315">
        <f t="shared" si="8"/>
        <v>2539</v>
      </c>
      <c r="F103" s="315">
        <v>34</v>
      </c>
      <c r="G103" s="315">
        <f t="shared" si="9"/>
        <v>408</v>
      </c>
      <c r="H103" s="315">
        <v>587</v>
      </c>
      <c r="I103" s="315">
        <f t="shared" si="13"/>
        <v>2131</v>
      </c>
    </row>
    <row r="104" spans="1:9" s="311" customFormat="1" x14ac:dyDescent="0.2">
      <c r="A104" s="539">
        <v>93</v>
      </c>
      <c r="B104" s="314" t="s">
        <v>226</v>
      </c>
      <c r="C104" s="121" t="s">
        <v>227</v>
      </c>
      <c r="D104" s="315">
        <f t="shared" si="7"/>
        <v>479</v>
      </c>
      <c r="E104" s="315">
        <f t="shared" si="8"/>
        <v>1956</v>
      </c>
      <c r="F104" s="315">
        <v>26</v>
      </c>
      <c r="G104" s="315">
        <f t="shared" si="9"/>
        <v>312</v>
      </c>
      <c r="H104" s="315">
        <v>453</v>
      </c>
      <c r="I104" s="315">
        <f t="shared" si="13"/>
        <v>1644</v>
      </c>
    </row>
    <row r="105" spans="1:9" s="311" customFormat="1" x14ac:dyDescent="0.2">
      <c r="A105" s="539">
        <v>94</v>
      </c>
      <c r="B105" s="316" t="s">
        <v>32</v>
      </c>
      <c r="C105" s="121" t="s">
        <v>33</v>
      </c>
      <c r="D105" s="315">
        <f t="shared" si="7"/>
        <v>539</v>
      </c>
      <c r="E105" s="315">
        <f t="shared" si="8"/>
        <v>2216</v>
      </c>
      <c r="F105" s="315">
        <v>31</v>
      </c>
      <c r="G105" s="315">
        <f t="shared" si="9"/>
        <v>372</v>
      </c>
      <c r="H105" s="315">
        <v>508</v>
      </c>
      <c r="I105" s="315">
        <f t="shared" si="13"/>
        <v>1844</v>
      </c>
    </row>
    <row r="106" spans="1:9" s="311" customFormat="1" x14ac:dyDescent="0.2">
      <c r="A106" s="539">
        <v>95</v>
      </c>
      <c r="B106" s="540" t="s">
        <v>228</v>
      </c>
      <c r="C106" s="121" t="s">
        <v>229</v>
      </c>
      <c r="D106" s="315">
        <f t="shared" si="7"/>
        <v>308</v>
      </c>
      <c r="E106" s="315">
        <f t="shared" si="8"/>
        <v>1244</v>
      </c>
      <c r="F106" s="315">
        <v>15</v>
      </c>
      <c r="G106" s="315">
        <f t="shared" si="9"/>
        <v>180</v>
      </c>
      <c r="H106" s="315">
        <v>293</v>
      </c>
      <c r="I106" s="315">
        <f t="shared" si="13"/>
        <v>1064</v>
      </c>
    </row>
    <row r="107" spans="1:9" s="311" customFormat="1" x14ac:dyDescent="0.2">
      <c r="A107" s="539">
        <v>96</v>
      </c>
      <c r="B107" s="314" t="s">
        <v>230</v>
      </c>
      <c r="C107" s="121" t="s">
        <v>231</v>
      </c>
      <c r="D107" s="315">
        <f t="shared" si="7"/>
        <v>984</v>
      </c>
      <c r="E107" s="315">
        <f t="shared" si="8"/>
        <v>3923</v>
      </c>
      <c r="F107" s="315">
        <v>42</v>
      </c>
      <c r="G107" s="315">
        <f t="shared" si="9"/>
        <v>504</v>
      </c>
      <c r="H107" s="315">
        <v>942</v>
      </c>
      <c r="I107" s="315">
        <f t="shared" si="13"/>
        <v>3419</v>
      </c>
    </row>
    <row r="108" spans="1:9" s="311" customFormat="1" x14ac:dyDescent="0.2">
      <c r="A108" s="539">
        <v>97</v>
      </c>
      <c r="B108" s="314" t="s">
        <v>232</v>
      </c>
      <c r="C108" s="121" t="s">
        <v>233</v>
      </c>
      <c r="D108" s="315"/>
      <c r="E108" s="315"/>
      <c r="F108" s="315"/>
      <c r="G108" s="315"/>
      <c r="H108" s="315"/>
      <c r="I108" s="315"/>
    </row>
    <row r="109" spans="1:9" s="311" customFormat="1" x14ac:dyDescent="0.2">
      <c r="A109" s="539">
        <v>98</v>
      </c>
      <c r="B109" s="314" t="s">
        <v>234</v>
      </c>
      <c r="C109" s="121" t="s">
        <v>235</v>
      </c>
      <c r="D109" s="315"/>
      <c r="E109" s="315"/>
      <c r="F109" s="315"/>
      <c r="G109" s="315"/>
      <c r="H109" s="315"/>
      <c r="I109" s="315"/>
    </row>
    <row r="110" spans="1:9" s="311" customFormat="1" x14ac:dyDescent="0.2">
      <c r="A110" s="539">
        <v>99</v>
      </c>
      <c r="B110" s="540" t="s">
        <v>236</v>
      </c>
      <c r="C110" s="121" t="s">
        <v>237</v>
      </c>
      <c r="D110" s="315"/>
      <c r="E110" s="315"/>
      <c r="F110" s="315"/>
      <c r="G110" s="315"/>
      <c r="H110" s="315"/>
      <c r="I110" s="315"/>
    </row>
    <row r="111" spans="1:9" s="311" customFormat="1" x14ac:dyDescent="0.2">
      <c r="A111" s="539">
        <v>100</v>
      </c>
      <c r="B111" s="540" t="s">
        <v>238</v>
      </c>
      <c r="C111" s="121" t="s">
        <v>239</v>
      </c>
      <c r="D111" s="315"/>
      <c r="E111" s="315"/>
      <c r="F111" s="315"/>
      <c r="G111" s="315"/>
      <c r="H111" s="315"/>
      <c r="I111" s="315"/>
    </row>
    <row r="112" spans="1:9" s="311" customFormat="1" x14ac:dyDescent="0.2">
      <c r="A112" s="539">
        <v>101</v>
      </c>
      <c r="B112" s="540" t="s">
        <v>240</v>
      </c>
      <c r="C112" s="121" t="s">
        <v>241</v>
      </c>
      <c r="D112" s="315"/>
      <c r="E112" s="315"/>
      <c r="F112" s="315"/>
      <c r="G112" s="315"/>
      <c r="H112" s="315"/>
      <c r="I112" s="315"/>
    </row>
    <row r="113" spans="1:9" s="311" customFormat="1" x14ac:dyDescent="0.2">
      <c r="A113" s="539">
        <v>102</v>
      </c>
      <c r="B113" s="540" t="s">
        <v>242</v>
      </c>
      <c r="C113" s="121" t="s">
        <v>243</v>
      </c>
      <c r="D113" s="315"/>
      <c r="E113" s="315"/>
      <c r="F113" s="315"/>
      <c r="G113" s="315"/>
      <c r="H113" s="315"/>
      <c r="I113" s="315"/>
    </row>
    <row r="114" spans="1:9" s="311" customFormat="1" x14ac:dyDescent="0.2">
      <c r="A114" s="539">
        <v>103</v>
      </c>
      <c r="B114" s="540" t="s">
        <v>244</v>
      </c>
      <c r="C114" s="121" t="s">
        <v>245</v>
      </c>
      <c r="D114" s="315"/>
      <c r="E114" s="315"/>
      <c r="F114" s="315"/>
      <c r="G114" s="315"/>
      <c r="H114" s="315"/>
      <c r="I114" s="315"/>
    </row>
    <row r="115" spans="1:9" s="311" customFormat="1" x14ac:dyDescent="0.2">
      <c r="A115" s="539">
        <v>104</v>
      </c>
      <c r="B115" s="319" t="s">
        <v>246</v>
      </c>
      <c r="C115" s="538" t="s">
        <v>247</v>
      </c>
      <c r="D115" s="315"/>
      <c r="E115" s="315"/>
      <c r="F115" s="315"/>
      <c r="G115" s="315"/>
      <c r="H115" s="315"/>
      <c r="I115" s="315"/>
    </row>
    <row r="116" spans="1:9" s="311" customFormat="1" x14ac:dyDescent="0.2">
      <c r="A116" s="539">
        <v>105</v>
      </c>
      <c r="B116" s="316" t="s">
        <v>248</v>
      </c>
      <c r="C116" s="121" t="s">
        <v>249</v>
      </c>
      <c r="D116" s="315"/>
      <c r="E116" s="315"/>
      <c r="F116" s="315"/>
      <c r="G116" s="315"/>
      <c r="H116" s="315"/>
      <c r="I116" s="315"/>
    </row>
    <row r="117" spans="1:9" s="311" customFormat="1" x14ac:dyDescent="0.2">
      <c r="A117" s="539">
        <v>106</v>
      </c>
      <c r="B117" s="540" t="s">
        <v>250</v>
      </c>
      <c r="C117" s="121" t="s">
        <v>251</v>
      </c>
      <c r="D117" s="315"/>
      <c r="E117" s="315"/>
      <c r="F117" s="315"/>
      <c r="G117" s="315"/>
      <c r="H117" s="315"/>
      <c r="I117" s="315"/>
    </row>
    <row r="118" spans="1:9" s="311" customFormat="1" x14ac:dyDescent="0.2">
      <c r="A118" s="539">
        <v>107</v>
      </c>
      <c r="B118" s="314" t="s">
        <v>252</v>
      </c>
      <c r="C118" s="543" t="s">
        <v>253</v>
      </c>
      <c r="D118" s="315"/>
      <c r="E118" s="315"/>
      <c r="F118" s="315"/>
      <c r="G118" s="315"/>
      <c r="H118" s="315"/>
      <c r="I118" s="315"/>
    </row>
    <row r="119" spans="1:9" s="311" customFormat="1" x14ac:dyDescent="0.2">
      <c r="A119" s="539">
        <v>108</v>
      </c>
      <c r="B119" s="540" t="s">
        <v>254</v>
      </c>
      <c r="C119" s="121" t="s">
        <v>255</v>
      </c>
      <c r="D119" s="315"/>
      <c r="E119" s="315"/>
      <c r="F119" s="315"/>
      <c r="G119" s="315"/>
      <c r="H119" s="315"/>
      <c r="I119" s="315"/>
    </row>
    <row r="120" spans="1:9" s="311" customFormat="1" x14ac:dyDescent="0.2">
      <c r="A120" s="539">
        <v>109</v>
      </c>
      <c r="B120" s="316" t="s">
        <v>256</v>
      </c>
      <c r="C120" s="121" t="s">
        <v>257</v>
      </c>
      <c r="D120" s="315"/>
      <c r="E120" s="315"/>
      <c r="F120" s="315"/>
      <c r="G120" s="315"/>
      <c r="H120" s="315"/>
      <c r="I120" s="315"/>
    </row>
    <row r="121" spans="1:9" s="311" customFormat="1" x14ac:dyDescent="0.2">
      <c r="A121" s="539">
        <v>110</v>
      </c>
      <c r="B121" s="314" t="s">
        <v>258</v>
      </c>
      <c r="C121" s="121" t="s">
        <v>259</v>
      </c>
      <c r="D121" s="315"/>
      <c r="E121" s="315"/>
      <c r="F121" s="315"/>
      <c r="G121" s="315"/>
      <c r="H121" s="315"/>
      <c r="I121" s="315"/>
    </row>
    <row r="122" spans="1:9" s="311" customFormat="1" x14ac:dyDescent="0.2">
      <c r="A122" s="539">
        <v>111</v>
      </c>
      <c r="B122" s="326" t="s">
        <v>542</v>
      </c>
      <c r="C122" s="327" t="s">
        <v>543</v>
      </c>
      <c r="D122" s="315"/>
      <c r="E122" s="315"/>
      <c r="F122" s="315"/>
      <c r="G122" s="315"/>
      <c r="H122" s="315"/>
      <c r="I122" s="315"/>
    </row>
    <row r="123" spans="1:9" s="311" customFormat="1" x14ac:dyDescent="0.2">
      <c r="A123" s="539">
        <v>112</v>
      </c>
      <c r="B123" s="316" t="s">
        <v>260</v>
      </c>
      <c r="C123" s="121" t="s">
        <v>261</v>
      </c>
      <c r="D123" s="315"/>
      <c r="E123" s="315"/>
      <c r="F123" s="315"/>
      <c r="G123" s="315"/>
      <c r="H123" s="315"/>
      <c r="I123" s="315"/>
    </row>
    <row r="124" spans="1:9" s="311" customFormat="1" x14ac:dyDescent="0.2">
      <c r="A124" s="539">
        <v>113</v>
      </c>
      <c r="B124" s="540" t="s">
        <v>262</v>
      </c>
      <c r="C124" s="121" t="s">
        <v>263</v>
      </c>
      <c r="D124" s="315"/>
      <c r="E124" s="315"/>
      <c r="F124" s="315"/>
      <c r="G124" s="315"/>
      <c r="H124" s="315"/>
      <c r="I124" s="315"/>
    </row>
    <row r="125" spans="1:9" s="311" customFormat="1" x14ac:dyDescent="0.2">
      <c r="A125" s="539">
        <v>114</v>
      </c>
      <c r="B125" s="540" t="s">
        <v>264</v>
      </c>
      <c r="C125" s="544" t="s">
        <v>265</v>
      </c>
      <c r="D125" s="315"/>
      <c r="E125" s="315"/>
      <c r="F125" s="315"/>
      <c r="G125" s="315"/>
      <c r="H125" s="315"/>
      <c r="I125" s="315"/>
    </row>
    <row r="126" spans="1:9" s="311" customFormat="1" x14ac:dyDescent="0.2">
      <c r="A126" s="539">
        <v>115</v>
      </c>
      <c r="B126" s="540" t="s">
        <v>266</v>
      </c>
      <c r="C126" s="121" t="s">
        <v>267</v>
      </c>
      <c r="D126" s="315"/>
      <c r="E126" s="315"/>
      <c r="F126" s="315"/>
      <c r="G126" s="315"/>
      <c r="H126" s="315"/>
      <c r="I126" s="315"/>
    </row>
    <row r="127" spans="1:9" s="311" customFormat="1" x14ac:dyDescent="0.2">
      <c r="A127" s="539">
        <v>116</v>
      </c>
      <c r="B127" s="540" t="s">
        <v>268</v>
      </c>
      <c r="C127" s="121" t="s">
        <v>269</v>
      </c>
      <c r="D127" s="315"/>
      <c r="E127" s="315"/>
      <c r="F127" s="315"/>
      <c r="G127" s="315"/>
      <c r="H127" s="315"/>
      <c r="I127" s="315"/>
    </row>
    <row r="128" spans="1:9" s="311" customFormat="1" x14ac:dyDescent="0.2">
      <c r="A128" s="539">
        <v>117</v>
      </c>
      <c r="B128" s="540" t="s">
        <v>270</v>
      </c>
      <c r="C128" s="121" t="s">
        <v>271</v>
      </c>
      <c r="D128" s="315"/>
      <c r="E128" s="315"/>
      <c r="F128" s="315"/>
      <c r="G128" s="315"/>
      <c r="H128" s="315"/>
      <c r="I128" s="315"/>
    </row>
    <row r="129" spans="1:9" s="311" customFormat="1" x14ac:dyDescent="0.2">
      <c r="A129" s="539">
        <v>118</v>
      </c>
      <c r="B129" s="314" t="s">
        <v>272</v>
      </c>
      <c r="C129" s="121" t="s">
        <v>273</v>
      </c>
      <c r="D129" s="315"/>
      <c r="E129" s="315"/>
      <c r="F129" s="315"/>
      <c r="G129" s="315"/>
      <c r="H129" s="315"/>
      <c r="I129" s="315"/>
    </row>
    <row r="130" spans="1:9" s="311" customFormat="1" x14ac:dyDescent="0.2">
      <c r="A130" s="539">
        <v>119</v>
      </c>
      <c r="B130" s="314" t="s">
        <v>274</v>
      </c>
      <c r="C130" s="121" t="s">
        <v>275</v>
      </c>
      <c r="D130" s="315"/>
      <c r="E130" s="315"/>
      <c r="F130" s="315"/>
      <c r="G130" s="315"/>
      <c r="H130" s="315"/>
      <c r="I130" s="315"/>
    </row>
    <row r="131" spans="1:9" s="311" customFormat="1" x14ac:dyDescent="0.2">
      <c r="A131" s="539">
        <v>120</v>
      </c>
      <c r="B131" s="314" t="s">
        <v>276</v>
      </c>
      <c r="C131" s="121" t="s">
        <v>277</v>
      </c>
      <c r="D131" s="315"/>
      <c r="E131" s="315"/>
      <c r="F131" s="315"/>
      <c r="G131" s="315"/>
      <c r="H131" s="315"/>
      <c r="I131" s="315"/>
    </row>
    <row r="132" spans="1:9" s="311" customFormat="1" x14ac:dyDescent="0.2">
      <c r="A132" s="539">
        <v>121</v>
      </c>
      <c r="B132" s="540" t="s">
        <v>278</v>
      </c>
      <c r="C132" s="121" t="s">
        <v>279</v>
      </c>
      <c r="D132" s="315"/>
      <c r="E132" s="315"/>
      <c r="F132" s="315"/>
      <c r="G132" s="315"/>
      <c r="H132" s="315"/>
      <c r="I132" s="315"/>
    </row>
    <row r="133" spans="1:9" s="311" customFormat="1" x14ac:dyDescent="0.2">
      <c r="A133" s="539">
        <v>122</v>
      </c>
      <c r="B133" s="540" t="s">
        <v>280</v>
      </c>
      <c r="C133" s="121" t="s">
        <v>281</v>
      </c>
      <c r="D133" s="315"/>
      <c r="E133" s="315"/>
      <c r="F133" s="315"/>
      <c r="G133" s="315"/>
      <c r="H133" s="315"/>
      <c r="I133" s="315"/>
    </row>
    <row r="134" spans="1:9" s="311" customFormat="1" x14ac:dyDescent="0.2">
      <c r="A134" s="539">
        <v>123</v>
      </c>
      <c r="B134" s="540" t="s">
        <v>282</v>
      </c>
      <c r="C134" s="121" t="s">
        <v>768</v>
      </c>
      <c r="D134" s="315"/>
      <c r="E134" s="315"/>
      <c r="F134" s="315"/>
      <c r="G134" s="315"/>
      <c r="H134" s="315"/>
      <c r="I134" s="315"/>
    </row>
    <row r="135" spans="1:9" s="311" customFormat="1" x14ac:dyDescent="0.2">
      <c r="A135" s="539">
        <v>124</v>
      </c>
      <c r="B135" s="314" t="s">
        <v>283</v>
      </c>
      <c r="C135" s="121" t="s">
        <v>284</v>
      </c>
      <c r="D135" s="315">
        <f t="shared" si="7"/>
        <v>1097</v>
      </c>
      <c r="E135" s="315">
        <f t="shared" si="8"/>
        <v>4526</v>
      </c>
      <c r="F135" s="315">
        <v>65</v>
      </c>
      <c r="G135" s="315">
        <f t="shared" si="9"/>
        <v>780</v>
      </c>
      <c r="H135" s="315">
        <v>1032</v>
      </c>
      <c r="I135" s="315">
        <f t="shared" ref="I135:I136" si="14">ROUND(H135*3.6299,0)</f>
        <v>3746</v>
      </c>
    </row>
    <row r="136" spans="1:9" s="311" customFormat="1" x14ac:dyDescent="0.2">
      <c r="A136" s="539">
        <v>125</v>
      </c>
      <c r="B136" s="316" t="s">
        <v>285</v>
      </c>
      <c r="C136" s="121" t="s">
        <v>726</v>
      </c>
      <c r="D136" s="315">
        <f t="shared" si="7"/>
        <v>1199</v>
      </c>
      <c r="E136" s="315">
        <f t="shared" si="8"/>
        <v>5198</v>
      </c>
      <c r="F136" s="315">
        <v>101</v>
      </c>
      <c r="G136" s="315">
        <f t="shared" si="9"/>
        <v>1212</v>
      </c>
      <c r="H136" s="315">
        <v>1098</v>
      </c>
      <c r="I136" s="315">
        <f t="shared" si="14"/>
        <v>3986</v>
      </c>
    </row>
    <row r="137" spans="1:9" s="311" customFormat="1" x14ac:dyDescent="0.2">
      <c r="A137" s="539">
        <v>126</v>
      </c>
      <c r="B137" s="540" t="s">
        <v>286</v>
      </c>
      <c r="C137" s="121" t="s">
        <v>287</v>
      </c>
      <c r="D137" s="315"/>
      <c r="E137" s="315"/>
      <c r="F137" s="315"/>
      <c r="G137" s="315"/>
      <c r="H137" s="315"/>
      <c r="I137" s="315"/>
    </row>
    <row r="138" spans="1:9" s="311" customFormat="1" x14ac:dyDescent="0.2">
      <c r="A138" s="539">
        <v>127</v>
      </c>
      <c r="B138" s="314" t="s">
        <v>288</v>
      </c>
      <c r="C138" s="121" t="s">
        <v>289</v>
      </c>
      <c r="D138" s="315"/>
      <c r="E138" s="315"/>
      <c r="F138" s="315"/>
      <c r="G138" s="315"/>
      <c r="H138" s="315"/>
      <c r="I138" s="315"/>
    </row>
    <row r="139" spans="1:9" s="311" customFormat="1" x14ac:dyDescent="0.2">
      <c r="A139" s="539">
        <v>128</v>
      </c>
      <c r="B139" s="540" t="s">
        <v>290</v>
      </c>
      <c r="C139" s="121" t="s">
        <v>291</v>
      </c>
      <c r="D139" s="315"/>
      <c r="E139" s="315"/>
      <c r="F139" s="315"/>
      <c r="G139" s="315"/>
      <c r="H139" s="315"/>
      <c r="I139" s="315"/>
    </row>
    <row r="140" spans="1:9" s="311" customFormat="1" x14ac:dyDescent="0.2">
      <c r="A140" s="539">
        <v>129</v>
      </c>
      <c r="B140" s="122" t="s">
        <v>292</v>
      </c>
      <c r="C140" s="125" t="s">
        <v>293</v>
      </c>
      <c r="D140" s="315"/>
      <c r="E140" s="315"/>
      <c r="F140" s="315"/>
      <c r="G140" s="315"/>
      <c r="H140" s="315"/>
      <c r="I140" s="315"/>
    </row>
    <row r="141" spans="1:9" s="311" customFormat="1" x14ac:dyDescent="0.2">
      <c r="A141" s="539">
        <v>130</v>
      </c>
      <c r="B141" s="124" t="s">
        <v>294</v>
      </c>
      <c r="C141" s="125" t="s">
        <v>295</v>
      </c>
      <c r="D141" s="315"/>
      <c r="E141" s="315"/>
      <c r="F141" s="315"/>
      <c r="G141" s="315"/>
      <c r="H141" s="315"/>
      <c r="I141" s="315"/>
    </row>
    <row r="142" spans="1:9" s="311" customFormat="1" x14ac:dyDescent="0.2">
      <c r="A142" s="539">
        <v>131</v>
      </c>
      <c r="B142" s="122" t="s">
        <v>296</v>
      </c>
      <c r="C142" s="125" t="s">
        <v>323</v>
      </c>
      <c r="D142" s="315"/>
      <c r="E142" s="315"/>
      <c r="F142" s="315"/>
      <c r="G142" s="315"/>
      <c r="H142" s="315"/>
      <c r="I142" s="315"/>
    </row>
    <row r="143" spans="1:9" s="311" customFormat="1" x14ac:dyDescent="0.2">
      <c r="A143" s="539">
        <v>132</v>
      </c>
      <c r="B143" s="539" t="s">
        <v>298</v>
      </c>
      <c r="C143" s="545" t="s">
        <v>299</v>
      </c>
      <c r="D143" s="315"/>
      <c r="E143" s="315"/>
      <c r="F143" s="315"/>
      <c r="G143" s="315"/>
      <c r="H143" s="315"/>
      <c r="I143" s="315"/>
    </row>
    <row r="144" spans="1:9" s="311" customFormat="1" x14ac:dyDescent="0.2">
      <c r="A144" s="539">
        <v>133</v>
      </c>
      <c r="B144" s="321" t="s">
        <v>300</v>
      </c>
      <c r="C144" s="545" t="s">
        <v>301</v>
      </c>
      <c r="D144" s="315"/>
      <c r="E144" s="315"/>
      <c r="F144" s="315"/>
      <c r="G144" s="315"/>
      <c r="H144" s="315"/>
      <c r="I144" s="315"/>
    </row>
    <row r="145" spans="1:10" s="311" customFormat="1" x14ac:dyDescent="0.2">
      <c r="A145" s="539">
        <v>134</v>
      </c>
      <c r="B145" s="322" t="s">
        <v>302</v>
      </c>
      <c r="C145" s="546" t="s">
        <v>303</v>
      </c>
      <c r="D145" s="315"/>
      <c r="E145" s="315"/>
      <c r="F145" s="315"/>
      <c r="G145" s="315"/>
      <c r="H145" s="315"/>
      <c r="I145" s="315"/>
    </row>
    <row r="146" spans="1:10" s="311" customFormat="1" x14ac:dyDescent="0.2">
      <c r="A146" s="547">
        <v>135</v>
      </c>
      <c r="B146" s="164" t="s">
        <v>304</v>
      </c>
      <c r="C146" s="163" t="s">
        <v>305</v>
      </c>
      <c r="D146" s="315"/>
      <c r="E146" s="315"/>
      <c r="F146" s="315"/>
      <c r="G146" s="315"/>
      <c r="H146" s="315"/>
      <c r="I146" s="315"/>
    </row>
    <row r="148" spans="1:10" s="311" customFormat="1" x14ac:dyDescent="0.2">
      <c r="A148" s="310"/>
      <c r="B148" s="310"/>
      <c r="C148" s="310"/>
      <c r="D148" s="310"/>
      <c r="E148" s="310"/>
      <c r="F148" s="310"/>
      <c r="G148" s="310"/>
      <c r="J148" s="310"/>
    </row>
  </sheetData>
  <mergeCells count="13">
    <mergeCell ref="A1:I1"/>
    <mergeCell ref="D2:I2"/>
    <mergeCell ref="D3:I3"/>
    <mergeCell ref="D4:E5"/>
    <mergeCell ref="F4:I4"/>
    <mergeCell ref="F5:G5"/>
    <mergeCell ref="H5:I5"/>
    <mergeCell ref="A8:C8"/>
    <mergeCell ref="A89:A92"/>
    <mergeCell ref="B89:B92"/>
    <mergeCell ref="A2:A6"/>
    <mergeCell ref="B2:B6"/>
    <mergeCell ref="C2:C6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128" activePane="bottomRight" state="frozen"/>
      <selection pane="topRight" activeCell="D1" sqref="D1"/>
      <selection pane="bottomLeft" activeCell="A9" sqref="A9"/>
      <selection pane="bottomRight" activeCell="R145" sqref="R14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18" t="s">
        <v>547</v>
      </c>
      <c r="B2" s="1118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1118"/>
      <c r="P2" s="1118"/>
    </row>
    <row r="3" spans="1:16" x14ac:dyDescent="0.25">
      <c r="C3" s="6"/>
      <c r="E3" s="31"/>
      <c r="M3" s="1130"/>
      <c r="N3" s="1130"/>
      <c r="O3" s="1130"/>
    </row>
    <row r="4" spans="1:16" s="10" customFormat="1" ht="12" customHeight="1" x14ac:dyDescent="0.25">
      <c r="A4" s="1122" t="s">
        <v>0</v>
      </c>
      <c r="B4" s="1122" t="s">
        <v>1</v>
      </c>
      <c r="C4" s="1127" t="s">
        <v>2</v>
      </c>
      <c r="D4" s="1119" t="s">
        <v>495</v>
      </c>
      <c r="E4" s="1120"/>
      <c r="F4" s="1120"/>
      <c r="G4" s="1120"/>
      <c r="H4" s="1121"/>
      <c r="I4" s="1119" t="s">
        <v>496</v>
      </c>
      <c r="J4" s="1120"/>
      <c r="K4" s="1120"/>
      <c r="L4" s="1121"/>
      <c r="M4" s="1122" t="s">
        <v>497</v>
      </c>
      <c r="N4" s="1124" t="s">
        <v>498</v>
      </c>
      <c r="O4" s="1125"/>
      <c r="P4" s="1126"/>
    </row>
    <row r="5" spans="1:16" ht="24" x14ac:dyDescent="0.25">
      <c r="A5" s="1129"/>
      <c r="B5" s="1129"/>
      <c r="C5" s="1128"/>
      <c r="D5" s="167" t="s">
        <v>499</v>
      </c>
      <c r="E5" s="167" t="s">
        <v>500</v>
      </c>
      <c r="F5" s="167" t="s">
        <v>501</v>
      </c>
      <c r="G5" s="167" t="s">
        <v>502</v>
      </c>
      <c r="H5" s="168" t="s">
        <v>13</v>
      </c>
      <c r="I5" s="167" t="s">
        <v>500</v>
      </c>
      <c r="J5" s="167" t="s">
        <v>501</v>
      </c>
      <c r="K5" s="167" t="s">
        <v>502</v>
      </c>
      <c r="L5" s="168" t="s">
        <v>13</v>
      </c>
      <c r="M5" s="1123"/>
      <c r="N5" s="157" t="s">
        <v>503</v>
      </c>
      <c r="O5" s="172" t="s">
        <v>504</v>
      </c>
      <c r="P5" s="157" t="s">
        <v>13</v>
      </c>
    </row>
    <row r="6" spans="1:16" x14ac:dyDescent="0.25">
      <c r="A6" s="1131" t="s">
        <v>13</v>
      </c>
      <c r="B6" s="1131"/>
      <c r="C6" s="1131"/>
      <c r="D6" s="170">
        <f>D7+D9+D8</f>
        <v>11318</v>
      </c>
      <c r="E6" s="170">
        <f t="shared" ref="E6:P6" si="0">E7+E9+E8</f>
        <v>170356</v>
      </c>
      <c r="F6" s="170">
        <f t="shared" si="0"/>
        <v>1861</v>
      </c>
      <c r="G6" s="170">
        <f t="shared" si="0"/>
        <v>37927</v>
      </c>
      <c r="H6" s="170">
        <f t="shared" si="0"/>
        <v>221462</v>
      </c>
      <c r="I6" s="170">
        <f t="shared" si="0"/>
        <v>75195</v>
      </c>
      <c r="J6" s="170">
        <f t="shared" si="0"/>
        <v>4018</v>
      </c>
      <c r="K6" s="170">
        <f t="shared" si="0"/>
        <v>5306</v>
      </c>
      <c r="L6" s="170">
        <f t="shared" si="0"/>
        <v>84519</v>
      </c>
      <c r="M6" s="170">
        <f t="shared" si="0"/>
        <v>7983</v>
      </c>
      <c r="N6" s="170">
        <f t="shared" si="0"/>
        <v>11341</v>
      </c>
      <c r="O6" s="170">
        <f t="shared" si="0"/>
        <v>3171</v>
      </c>
      <c r="P6" s="170">
        <f t="shared" si="0"/>
        <v>14512</v>
      </c>
    </row>
    <row r="7" spans="1:16" x14ac:dyDescent="0.25">
      <c r="A7" s="15"/>
      <c r="B7" s="15"/>
      <c r="C7" s="16" t="s">
        <v>14</v>
      </c>
      <c r="D7" s="146"/>
      <c r="E7" s="146">
        <v>1900</v>
      </c>
      <c r="F7" s="146"/>
      <c r="G7" s="146"/>
      <c r="H7" s="146">
        <f>E7+F7+G7+D7</f>
        <v>1900</v>
      </c>
      <c r="I7" s="146"/>
      <c r="J7" s="146">
        <v>660</v>
      </c>
      <c r="K7" s="146"/>
      <c r="L7" s="146">
        <f>I7+J7+K7</f>
        <v>660</v>
      </c>
      <c r="M7" s="173"/>
      <c r="N7" s="173"/>
      <c r="O7" s="146"/>
      <c r="P7" s="146">
        <f>M7+N7+O7</f>
        <v>0</v>
      </c>
    </row>
    <row r="8" spans="1:16" x14ac:dyDescent="0.25">
      <c r="A8" s="15"/>
      <c r="B8" s="15"/>
      <c r="C8" s="16" t="s">
        <v>545</v>
      </c>
      <c r="D8" s="146"/>
      <c r="E8" s="146">
        <v>170</v>
      </c>
      <c r="F8" s="146">
        <v>0</v>
      </c>
      <c r="G8" s="146">
        <v>258</v>
      </c>
      <c r="H8" s="146">
        <f>E8+F8+G8+D8</f>
        <v>428</v>
      </c>
      <c r="I8" s="146">
        <v>322</v>
      </c>
      <c r="J8" s="146">
        <v>15</v>
      </c>
      <c r="K8" s="146"/>
      <c r="L8" s="146">
        <f>I8+J8+K8</f>
        <v>337</v>
      </c>
      <c r="M8" s="173"/>
      <c r="N8" s="173"/>
      <c r="O8" s="146"/>
      <c r="P8" s="146">
        <f>M8+N8+O8</f>
        <v>0</v>
      </c>
    </row>
    <row r="9" spans="1:16" s="10" customFormat="1" x14ac:dyDescent="0.25">
      <c r="A9" s="1131" t="s">
        <v>15</v>
      </c>
      <c r="B9" s="1131"/>
      <c r="C9" s="1131"/>
      <c r="D9" s="170">
        <f>SUM(D10:D147)-D35-D73-D74-D76-D77-D78-D83-D86-D90</f>
        <v>11318</v>
      </c>
      <c r="E9" s="170">
        <f t="shared" ref="E9:P9" si="1">SUM(E10:E147)-E35-E73-E74-E76-E77-E78-E83-E86-E90</f>
        <v>168286</v>
      </c>
      <c r="F9" s="170">
        <f t="shared" si="1"/>
        <v>1861</v>
      </c>
      <c r="G9" s="170">
        <f t="shared" si="1"/>
        <v>37669</v>
      </c>
      <c r="H9" s="170">
        <f t="shared" si="1"/>
        <v>219134</v>
      </c>
      <c r="I9" s="170">
        <f t="shared" si="1"/>
        <v>74873</v>
      </c>
      <c r="J9" s="170">
        <f t="shared" si="1"/>
        <v>3343</v>
      </c>
      <c r="K9" s="170">
        <f t="shared" si="1"/>
        <v>5306</v>
      </c>
      <c r="L9" s="170">
        <f t="shared" si="1"/>
        <v>83522</v>
      </c>
      <c r="M9" s="170">
        <f t="shared" si="1"/>
        <v>7983</v>
      </c>
      <c r="N9" s="170">
        <f t="shared" si="1"/>
        <v>11341</v>
      </c>
      <c r="O9" s="170">
        <f t="shared" si="1"/>
        <v>3171</v>
      </c>
      <c r="P9" s="170">
        <f t="shared" si="1"/>
        <v>14512</v>
      </c>
    </row>
    <row r="10" spans="1:16" s="19" customFormat="1" x14ac:dyDescent="0.25">
      <c r="A10" s="145">
        <v>1</v>
      </c>
      <c r="B10" s="48" t="s">
        <v>54</v>
      </c>
      <c r="C10" s="49" t="s">
        <v>55</v>
      </c>
      <c r="D10" s="146">
        <v>0</v>
      </c>
      <c r="E10" s="146">
        <v>0</v>
      </c>
      <c r="F10" s="146">
        <v>0</v>
      </c>
      <c r="G10" s="146">
        <v>0</v>
      </c>
      <c r="H10" s="146">
        <f t="shared" ref="H10:H71" si="2">D10+E10+F10+G10</f>
        <v>0</v>
      </c>
      <c r="I10" s="146">
        <v>0</v>
      </c>
      <c r="J10" s="146">
        <v>0</v>
      </c>
      <c r="K10" s="146">
        <v>0</v>
      </c>
      <c r="L10" s="146">
        <f>I10+J10+K10</f>
        <v>0</v>
      </c>
      <c r="M10" s="146">
        <v>0</v>
      </c>
      <c r="N10" s="146">
        <v>0</v>
      </c>
      <c r="O10" s="146">
        <v>0</v>
      </c>
      <c r="P10" s="146">
        <f>N10+O10</f>
        <v>0</v>
      </c>
    </row>
    <row r="11" spans="1:16" s="19" customFormat="1" x14ac:dyDescent="0.25">
      <c r="A11" s="145">
        <v>2</v>
      </c>
      <c r="B11" s="51" t="s">
        <v>56</v>
      </c>
      <c r="C11" s="49" t="s">
        <v>57</v>
      </c>
      <c r="D11" s="146">
        <v>0</v>
      </c>
      <c r="E11" s="146">
        <v>0</v>
      </c>
      <c r="F11" s="146">
        <v>0</v>
      </c>
      <c r="G11" s="146">
        <v>0</v>
      </c>
      <c r="H11" s="146">
        <f t="shared" si="2"/>
        <v>0</v>
      </c>
      <c r="I11" s="146">
        <v>0</v>
      </c>
      <c r="J11" s="146">
        <v>0</v>
      </c>
      <c r="K11" s="146">
        <v>0</v>
      </c>
      <c r="L11" s="146">
        <f t="shared" ref="L11:L71" si="3">I11+J11+K11</f>
        <v>0</v>
      </c>
      <c r="M11" s="146">
        <v>0</v>
      </c>
      <c r="N11" s="146">
        <v>0</v>
      </c>
      <c r="O11" s="146">
        <v>0</v>
      </c>
      <c r="P11" s="146">
        <f t="shared" ref="P11:P71" si="4">N11+O11</f>
        <v>0</v>
      </c>
    </row>
    <row r="12" spans="1:16" s="10" customFormat="1" x14ac:dyDescent="0.25">
      <c r="A12" s="145">
        <v>3</v>
      </c>
      <c r="B12" s="166" t="s">
        <v>16</v>
      </c>
      <c r="C12" s="49" t="s">
        <v>17</v>
      </c>
      <c r="D12" s="146">
        <v>0</v>
      </c>
      <c r="E12" s="146">
        <v>4044</v>
      </c>
      <c r="F12" s="146">
        <v>0</v>
      </c>
      <c r="G12" s="146">
        <v>660</v>
      </c>
      <c r="H12" s="146">
        <f t="shared" si="2"/>
        <v>4704</v>
      </c>
      <c r="I12" s="146">
        <v>0</v>
      </c>
      <c r="J12" s="146">
        <v>0</v>
      </c>
      <c r="K12" s="146">
        <v>0</v>
      </c>
      <c r="L12" s="146">
        <f t="shared" si="3"/>
        <v>0</v>
      </c>
      <c r="M12" s="146">
        <v>0</v>
      </c>
      <c r="N12" s="146">
        <v>0</v>
      </c>
      <c r="O12" s="146">
        <v>0</v>
      </c>
      <c r="P12" s="146">
        <f t="shared" si="4"/>
        <v>0</v>
      </c>
    </row>
    <row r="13" spans="1:16" s="26" customFormat="1" x14ac:dyDescent="0.25">
      <c r="A13" s="145">
        <v>4</v>
      </c>
      <c r="B13" s="48" t="s">
        <v>58</v>
      </c>
      <c r="C13" s="49" t="s">
        <v>59</v>
      </c>
      <c r="D13" s="146">
        <v>0</v>
      </c>
      <c r="E13" s="146">
        <v>0</v>
      </c>
      <c r="F13" s="146">
        <v>0</v>
      </c>
      <c r="G13" s="146">
        <v>0</v>
      </c>
      <c r="H13" s="146">
        <f t="shared" si="2"/>
        <v>0</v>
      </c>
      <c r="I13" s="146">
        <v>0</v>
      </c>
      <c r="J13" s="146">
        <v>0</v>
      </c>
      <c r="K13" s="146">
        <v>0</v>
      </c>
      <c r="L13" s="146">
        <f t="shared" si="3"/>
        <v>0</v>
      </c>
      <c r="M13" s="146">
        <v>0</v>
      </c>
      <c r="N13" s="146">
        <v>0</v>
      </c>
      <c r="O13" s="146">
        <v>0</v>
      </c>
      <c r="P13" s="146">
        <f t="shared" si="4"/>
        <v>0</v>
      </c>
    </row>
    <row r="14" spans="1:16" s="26" customFormat="1" x14ac:dyDescent="0.25">
      <c r="A14" s="145">
        <v>5</v>
      </c>
      <c r="B14" s="48" t="s">
        <v>60</v>
      </c>
      <c r="C14" s="49" t="s">
        <v>61</v>
      </c>
      <c r="D14" s="146">
        <v>0</v>
      </c>
      <c r="E14" s="146">
        <v>0</v>
      </c>
      <c r="F14" s="146">
        <v>0</v>
      </c>
      <c r="G14" s="146">
        <v>0</v>
      </c>
      <c r="H14" s="146">
        <f t="shared" si="2"/>
        <v>0</v>
      </c>
      <c r="I14" s="146">
        <v>0</v>
      </c>
      <c r="J14" s="146">
        <v>0</v>
      </c>
      <c r="K14" s="146">
        <v>0</v>
      </c>
      <c r="L14" s="146">
        <f t="shared" si="3"/>
        <v>0</v>
      </c>
      <c r="M14" s="146">
        <v>0</v>
      </c>
      <c r="N14" s="146">
        <v>0</v>
      </c>
      <c r="O14" s="146">
        <v>0</v>
      </c>
      <c r="P14" s="146">
        <f t="shared" si="4"/>
        <v>0</v>
      </c>
    </row>
    <row r="15" spans="1:16" s="148" customFormat="1" x14ac:dyDescent="0.25">
      <c r="A15" s="145">
        <v>6</v>
      </c>
      <c r="B15" s="166" t="s">
        <v>18</v>
      </c>
      <c r="C15" s="49" t="s">
        <v>19</v>
      </c>
      <c r="D15" s="146">
        <v>0</v>
      </c>
      <c r="E15" s="146">
        <v>6013</v>
      </c>
      <c r="F15" s="146">
        <v>108</v>
      </c>
      <c r="G15" s="146">
        <v>979</v>
      </c>
      <c r="H15" s="146">
        <f t="shared" si="2"/>
        <v>7100</v>
      </c>
      <c r="I15" s="146">
        <v>3615</v>
      </c>
      <c r="J15" s="146">
        <v>0</v>
      </c>
      <c r="K15" s="146">
        <v>0</v>
      </c>
      <c r="L15" s="146">
        <f t="shared" si="3"/>
        <v>3615</v>
      </c>
      <c r="M15" s="146">
        <v>0</v>
      </c>
      <c r="N15" s="146">
        <v>0</v>
      </c>
      <c r="O15" s="146">
        <v>0</v>
      </c>
      <c r="P15" s="146">
        <f t="shared" si="4"/>
        <v>0</v>
      </c>
    </row>
    <row r="16" spans="1:16" s="26" customFormat="1" x14ac:dyDescent="0.25">
      <c r="A16" s="145">
        <v>7</v>
      </c>
      <c r="B16" s="48" t="s">
        <v>62</v>
      </c>
      <c r="C16" s="49" t="s">
        <v>63</v>
      </c>
      <c r="D16" s="146">
        <v>0</v>
      </c>
      <c r="E16" s="146">
        <v>2294</v>
      </c>
      <c r="F16" s="146">
        <v>0</v>
      </c>
      <c r="G16" s="146">
        <v>373</v>
      </c>
      <c r="H16" s="146">
        <f t="shared" si="2"/>
        <v>2667</v>
      </c>
      <c r="I16" s="146">
        <v>0</v>
      </c>
      <c r="J16" s="146">
        <v>0</v>
      </c>
      <c r="K16" s="146">
        <v>0</v>
      </c>
      <c r="L16" s="146">
        <f t="shared" si="3"/>
        <v>0</v>
      </c>
      <c r="M16" s="146">
        <v>0</v>
      </c>
      <c r="N16" s="146">
        <v>0</v>
      </c>
      <c r="O16" s="146">
        <v>0</v>
      </c>
      <c r="P16" s="146">
        <f t="shared" si="4"/>
        <v>0</v>
      </c>
    </row>
    <row r="17" spans="1:16" s="26" customFormat="1" x14ac:dyDescent="0.25">
      <c r="A17" s="145">
        <v>8</v>
      </c>
      <c r="B17" s="166" t="s">
        <v>64</v>
      </c>
      <c r="C17" s="49" t="s">
        <v>65</v>
      </c>
      <c r="D17" s="146">
        <v>0</v>
      </c>
      <c r="E17" s="146">
        <v>0</v>
      </c>
      <c r="F17" s="146">
        <v>0</v>
      </c>
      <c r="G17" s="146">
        <v>0</v>
      </c>
      <c r="H17" s="146">
        <f t="shared" si="2"/>
        <v>0</v>
      </c>
      <c r="I17" s="146">
        <v>0</v>
      </c>
      <c r="J17" s="146">
        <v>0</v>
      </c>
      <c r="K17" s="146">
        <v>0</v>
      </c>
      <c r="L17" s="146">
        <f t="shared" si="3"/>
        <v>0</v>
      </c>
      <c r="M17" s="146">
        <v>0</v>
      </c>
      <c r="N17" s="146">
        <v>0</v>
      </c>
      <c r="O17" s="146">
        <v>0</v>
      </c>
      <c r="P17" s="146">
        <f t="shared" si="4"/>
        <v>0</v>
      </c>
    </row>
    <row r="18" spans="1:16" s="148" customFormat="1" x14ac:dyDescent="0.25">
      <c r="A18" s="145">
        <v>9</v>
      </c>
      <c r="B18" s="166" t="s">
        <v>66</v>
      </c>
      <c r="C18" s="49" t="s">
        <v>67</v>
      </c>
      <c r="D18" s="146">
        <v>0</v>
      </c>
      <c r="E18" s="146">
        <v>0</v>
      </c>
      <c r="F18" s="146">
        <v>0</v>
      </c>
      <c r="G18" s="146">
        <v>0</v>
      </c>
      <c r="H18" s="146">
        <f t="shared" si="2"/>
        <v>0</v>
      </c>
      <c r="I18" s="146">
        <v>0</v>
      </c>
      <c r="J18" s="146">
        <v>0</v>
      </c>
      <c r="K18" s="146">
        <v>0</v>
      </c>
      <c r="L18" s="146">
        <f t="shared" si="3"/>
        <v>0</v>
      </c>
      <c r="M18" s="146">
        <v>0</v>
      </c>
      <c r="N18" s="146">
        <v>0</v>
      </c>
      <c r="O18" s="146">
        <v>0</v>
      </c>
      <c r="P18" s="146">
        <f t="shared" si="4"/>
        <v>0</v>
      </c>
    </row>
    <row r="19" spans="1:16" s="26" customFormat="1" x14ac:dyDescent="0.25">
      <c r="A19" s="145">
        <v>10</v>
      </c>
      <c r="B19" s="166" t="s">
        <v>68</v>
      </c>
      <c r="C19" s="49" t="s">
        <v>69</v>
      </c>
      <c r="D19" s="146">
        <v>0</v>
      </c>
      <c r="E19" s="146">
        <v>0</v>
      </c>
      <c r="F19" s="146">
        <v>0</v>
      </c>
      <c r="G19" s="146">
        <v>0</v>
      </c>
      <c r="H19" s="146">
        <f t="shared" si="2"/>
        <v>0</v>
      </c>
      <c r="I19" s="146">
        <v>0</v>
      </c>
      <c r="J19" s="146">
        <v>0</v>
      </c>
      <c r="K19" s="146">
        <v>0</v>
      </c>
      <c r="L19" s="146">
        <f t="shared" si="3"/>
        <v>0</v>
      </c>
      <c r="M19" s="146">
        <v>0</v>
      </c>
      <c r="N19" s="146">
        <v>0</v>
      </c>
      <c r="O19" s="146">
        <v>0</v>
      </c>
      <c r="P19" s="146">
        <f t="shared" si="4"/>
        <v>0</v>
      </c>
    </row>
    <row r="20" spans="1:16" s="26" customFormat="1" x14ac:dyDescent="0.25">
      <c r="A20" s="145">
        <v>11</v>
      </c>
      <c r="B20" s="166" t="s">
        <v>70</v>
      </c>
      <c r="C20" s="49" t="s">
        <v>71</v>
      </c>
      <c r="D20" s="146">
        <v>0</v>
      </c>
      <c r="E20" s="146">
        <v>0</v>
      </c>
      <c r="F20" s="146">
        <v>0</v>
      </c>
      <c r="G20" s="146">
        <v>0</v>
      </c>
      <c r="H20" s="146">
        <f t="shared" si="2"/>
        <v>0</v>
      </c>
      <c r="I20" s="146">
        <v>0</v>
      </c>
      <c r="J20" s="146">
        <v>0</v>
      </c>
      <c r="K20" s="146">
        <v>0</v>
      </c>
      <c r="L20" s="146">
        <f t="shared" si="3"/>
        <v>0</v>
      </c>
      <c r="M20" s="146">
        <v>0</v>
      </c>
      <c r="N20" s="146">
        <v>0</v>
      </c>
      <c r="O20" s="146">
        <v>0</v>
      </c>
      <c r="P20" s="146">
        <f t="shared" si="4"/>
        <v>0</v>
      </c>
    </row>
    <row r="21" spans="1:16" s="26" customFormat="1" x14ac:dyDescent="0.25">
      <c r="A21" s="145">
        <v>12</v>
      </c>
      <c r="B21" s="166" t="s">
        <v>72</v>
      </c>
      <c r="C21" s="49" t="s">
        <v>73</v>
      </c>
      <c r="D21" s="146">
        <v>0</v>
      </c>
      <c r="E21" s="146">
        <v>1114</v>
      </c>
      <c r="F21" s="146">
        <v>0</v>
      </c>
      <c r="G21" s="146">
        <v>182</v>
      </c>
      <c r="H21" s="146">
        <f t="shared" si="2"/>
        <v>1296</v>
      </c>
      <c r="I21" s="146">
        <v>0</v>
      </c>
      <c r="J21" s="146">
        <v>0</v>
      </c>
      <c r="K21" s="146">
        <v>0</v>
      </c>
      <c r="L21" s="146">
        <f t="shared" si="3"/>
        <v>0</v>
      </c>
      <c r="M21" s="146">
        <v>0</v>
      </c>
      <c r="N21" s="146">
        <v>0</v>
      </c>
      <c r="O21" s="146">
        <v>0</v>
      </c>
      <c r="P21" s="146">
        <f t="shared" si="4"/>
        <v>0</v>
      </c>
    </row>
    <row r="22" spans="1:16" s="26" customFormat="1" x14ac:dyDescent="0.25">
      <c r="A22" s="145">
        <v>13</v>
      </c>
      <c r="B22" s="166" t="s">
        <v>74</v>
      </c>
      <c r="C22" s="49" t="s">
        <v>75</v>
      </c>
      <c r="D22" s="146">
        <v>0</v>
      </c>
      <c r="E22" s="146">
        <v>0</v>
      </c>
      <c r="F22" s="146">
        <v>0</v>
      </c>
      <c r="G22" s="146">
        <v>0</v>
      </c>
      <c r="H22" s="146">
        <f t="shared" si="2"/>
        <v>0</v>
      </c>
      <c r="I22" s="146">
        <v>0</v>
      </c>
      <c r="J22" s="146">
        <v>0</v>
      </c>
      <c r="K22" s="146">
        <v>0</v>
      </c>
      <c r="L22" s="146">
        <f t="shared" si="3"/>
        <v>0</v>
      </c>
      <c r="M22" s="146">
        <v>0</v>
      </c>
      <c r="N22" s="146">
        <v>0</v>
      </c>
      <c r="O22" s="146">
        <v>0</v>
      </c>
      <c r="P22" s="146">
        <f t="shared" si="4"/>
        <v>0</v>
      </c>
    </row>
    <row r="23" spans="1:16" s="26" customFormat="1" x14ac:dyDescent="0.25">
      <c r="A23" s="145">
        <v>14</v>
      </c>
      <c r="B23" s="166" t="s">
        <v>76</v>
      </c>
      <c r="C23" s="49" t="s">
        <v>77</v>
      </c>
      <c r="D23" s="146">
        <v>0</v>
      </c>
      <c r="E23" s="146">
        <v>0</v>
      </c>
      <c r="F23" s="146">
        <v>0</v>
      </c>
      <c r="G23" s="146">
        <v>0</v>
      </c>
      <c r="H23" s="146">
        <f t="shared" si="2"/>
        <v>0</v>
      </c>
      <c r="I23" s="146">
        <v>0</v>
      </c>
      <c r="J23" s="146">
        <v>0</v>
      </c>
      <c r="K23" s="146">
        <v>0</v>
      </c>
      <c r="L23" s="146">
        <f t="shared" si="3"/>
        <v>0</v>
      </c>
      <c r="M23" s="146">
        <v>0</v>
      </c>
      <c r="N23" s="146">
        <v>0</v>
      </c>
      <c r="O23" s="146">
        <v>0</v>
      </c>
      <c r="P23" s="146">
        <f t="shared" si="4"/>
        <v>0</v>
      </c>
    </row>
    <row r="24" spans="1:16" s="26" customFormat="1" x14ac:dyDescent="0.25">
      <c r="A24" s="145">
        <v>15</v>
      </c>
      <c r="B24" s="166" t="s">
        <v>78</v>
      </c>
      <c r="C24" s="49" t="s">
        <v>79</v>
      </c>
      <c r="D24" s="146">
        <v>0</v>
      </c>
      <c r="E24" s="146">
        <v>998</v>
      </c>
      <c r="F24" s="146">
        <v>33</v>
      </c>
      <c r="G24" s="146">
        <v>0</v>
      </c>
      <c r="H24" s="146">
        <f t="shared" si="2"/>
        <v>1031</v>
      </c>
      <c r="I24" s="146">
        <v>0</v>
      </c>
      <c r="J24" s="146">
        <v>0</v>
      </c>
      <c r="K24" s="146">
        <v>0</v>
      </c>
      <c r="L24" s="146">
        <f t="shared" si="3"/>
        <v>0</v>
      </c>
      <c r="M24" s="146">
        <v>0</v>
      </c>
      <c r="N24" s="146">
        <v>0</v>
      </c>
      <c r="O24" s="146">
        <v>0</v>
      </c>
      <c r="P24" s="146">
        <f t="shared" si="4"/>
        <v>0</v>
      </c>
    </row>
    <row r="25" spans="1:16" s="26" customFormat="1" x14ac:dyDescent="0.25">
      <c r="A25" s="145">
        <v>16</v>
      </c>
      <c r="B25" s="166" t="s">
        <v>80</v>
      </c>
      <c r="C25" s="49" t="s">
        <v>81</v>
      </c>
      <c r="D25" s="146">
        <v>0</v>
      </c>
      <c r="E25" s="146">
        <v>1649</v>
      </c>
      <c r="F25" s="146">
        <v>31</v>
      </c>
      <c r="G25" s="146">
        <v>269</v>
      </c>
      <c r="H25" s="146">
        <f t="shared" si="2"/>
        <v>1949</v>
      </c>
      <c r="I25" s="146">
        <v>0</v>
      </c>
      <c r="J25" s="146">
        <v>0</v>
      </c>
      <c r="K25" s="146">
        <v>0</v>
      </c>
      <c r="L25" s="146">
        <f t="shared" si="3"/>
        <v>0</v>
      </c>
      <c r="M25" s="146">
        <v>0</v>
      </c>
      <c r="N25" s="146">
        <v>0</v>
      </c>
      <c r="O25" s="146">
        <v>0</v>
      </c>
      <c r="P25" s="146">
        <f t="shared" si="4"/>
        <v>0</v>
      </c>
    </row>
    <row r="26" spans="1:16" s="26" customFormat="1" x14ac:dyDescent="0.25">
      <c r="A26" s="145">
        <v>17</v>
      </c>
      <c r="B26" s="166" t="s">
        <v>20</v>
      </c>
      <c r="C26" s="49" t="s">
        <v>21</v>
      </c>
      <c r="D26" s="146">
        <v>0</v>
      </c>
      <c r="E26" s="146">
        <v>3557</v>
      </c>
      <c r="F26" s="146">
        <v>0</v>
      </c>
      <c r="G26" s="146">
        <v>822</v>
      </c>
      <c r="H26" s="146">
        <f t="shared" si="2"/>
        <v>4379</v>
      </c>
      <c r="I26" s="146">
        <v>2562</v>
      </c>
      <c r="J26" s="146">
        <v>0</v>
      </c>
      <c r="K26" s="146">
        <v>0</v>
      </c>
      <c r="L26" s="146">
        <f t="shared" si="3"/>
        <v>2562</v>
      </c>
      <c r="M26" s="146">
        <v>0</v>
      </c>
      <c r="N26" s="146">
        <v>0</v>
      </c>
      <c r="O26" s="146">
        <v>0</v>
      </c>
      <c r="P26" s="146">
        <f t="shared" si="4"/>
        <v>0</v>
      </c>
    </row>
    <row r="27" spans="1:16" s="26" customFormat="1" x14ac:dyDescent="0.25">
      <c r="A27" s="145">
        <v>18</v>
      </c>
      <c r="B27" s="48" t="s">
        <v>82</v>
      </c>
      <c r="C27" s="49" t="s">
        <v>83</v>
      </c>
      <c r="D27" s="146">
        <v>0</v>
      </c>
      <c r="E27" s="146">
        <v>0</v>
      </c>
      <c r="F27" s="146">
        <v>0</v>
      </c>
      <c r="G27" s="146">
        <v>0</v>
      </c>
      <c r="H27" s="146">
        <f t="shared" si="2"/>
        <v>0</v>
      </c>
      <c r="I27" s="146">
        <v>0</v>
      </c>
      <c r="J27" s="146">
        <v>0</v>
      </c>
      <c r="K27" s="146">
        <v>0</v>
      </c>
      <c r="L27" s="146">
        <f t="shared" si="3"/>
        <v>0</v>
      </c>
      <c r="M27" s="146">
        <v>0</v>
      </c>
      <c r="N27" s="146">
        <v>0</v>
      </c>
      <c r="O27" s="146">
        <v>0</v>
      </c>
      <c r="P27" s="146">
        <f t="shared" si="4"/>
        <v>0</v>
      </c>
    </row>
    <row r="28" spans="1:16" s="26" customFormat="1" x14ac:dyDescent="0.25">
      <c r="A28" s="145">
        <v>19</v>
      </c>
      <c r="B28" s="48" t="s">
        <v>84</v>
      </c>
      <c r="C28" s="49" t="s">
        <v>85</v>
      </c>
      <c r="D28" s="146">
        <v>0</v>
      </c>
      <c r="E28" s="146">
        <v>0</v>
      </c>
      <c r="F28" s="146">
        <v>0</v>
      </c>
      <c r="G28" s="146">
        <v>0</v>
      </c>
      <c r="H28" s="146">
        <f t="shared" si="2"/>
        <v>0</v>
      </c>
      <c r="I28" s="146">
        <v>0</v>
      </c>
      <c r="J28" s="146">
        <v>0</v>
      </c>
      <c r="K28" s="146">
        <v>0</v>
      </c>
      <c r="L28" s="146">
        <f t="shared" si="3"/>
        <v>0</v>
      </c>
      <c r="M28" s="146">
        <v>0</v>
      </c>
      <c r="N28" s="146">
        <v>0</v>
      </c>
      <c r="O28" s="146">
        <v>0</v>
      </c>
      <c r="P28" s="146">
        <f t="shared" si="4"/>
        <v>0</v>
      </c>
    </row>
    <row r="29" spans="1:16" s="148" customFormat="1" x14ac:dyDescent="0.25">
      <c r="A29" s="145">
        <v>20</v>
      </c>
      <c r="B29" s="48" t="s">
        <v>86</v>
      </c>
      <c r="C29" s="49" t="s">
        <v>87</v>
      </c>
      <c r="D29" s="146">
        <v>0</v>
      </c>
      <c r="E29" s="146">
        <v>1776</v>
      </c>
      <c r="F29" s="146">
        <v>0</v>
      </c>
      <c r="G29" s="146">
        <v>0</v>
      </c>
      <c r="H29" s="146">
        <f t="shared" si="2"/>
        <v>1776</v>
      </c>
      <c r="I29" s="146">
        <v>0</v>
      </c>
      <c r="J29" s="146">
        <v>0</v>
      </c>
      <c r="K29" s="146">
        <v>0</v>
      </c>
      <c r="L29" s="146">
        <f t="shared" si="3"/>
        <v>0</v>
      </c>
      <c r="M29" s="146">
        <v>0</v>
      </c>
      <c r="N29" s="146">
        <v>0</v>
      </c>
      <c r="O29" s="146">
        <v>0</v>
      </c>
      <c r="P29" s="146">
        <f t="shared" si="4"/>
        <v>0</v>
      </c>
    </row>
    <row r="30" spans="1:16" s="26" customFormat="1" x14ac:dyDescent="0.25">
      <c r="A30" s="145">
        <v>21</v>
      </c>
      <c r="B30" s="48" t="s">
        <v>22</v>
      </c>
      <c r="C30" s="49" t="s">
        <v>23</v>
      </c>
      <c r="D30" s="146">
        <v>0</v>
      </c>
      <c r="E30" s="146">
        <v>2281</v>
      </c>
      <c r="F30" s="146">
        <v>39</v>
      </c>
      <c r="G30" s="146">
        <v>355</v>
      </c>
      <c r="H30" s="146">
        <f t="shared" si="2"/>
        <v>2675</v>
      </c>
      <c r="I30" s="146">
        <v>1117</v>
      </c>
      <c r="J30" s="146">
        <v>86</v>
      </c>
      <c r="K30" s="146">
        <v>25</v>
      </c>
      <c r="L30" s="146">
        <f t="shared" si="3"/>
        <v>1228</v>
      </c>
      <c r="M30" s="146">
        <v>0</v>
      </c>
      <c r="N30" s="146">
        <v>0</v>
      </c>
      <c r="O30" s="146">
        <v>0</v>
      </c>
      <c r="P30" s="146">
        <f t="shared" si="4"/>
        <v>0</v>
      </c>
    </row>
    <row r="31" spans="1:16" s="26" customFormat="1" x14ac:dyDescent="0.25">
      <c r="A31" s="145">
        <v>22</v>
      </c>
      <c r="B31" s="166" t="s">
        <v>24</v>
      </c>
      <c r="C31" s="49" t="s">
        <v>25</v>
      </c>
      <c r="D31" s="146">
        <v>0</v>
      </c>
      <c r="E31" s="146">
        <v>0</v>
      </c>
      <c r="F31" s="146">
        <v>0</v>
      </c>
      <c r="G31" s="146">
        <v>0</v>
      </c>
      <c r="H31" s="146">
        <f t="shared" si="2"/>
        <v>0</v>
      </c>
      <c r="I31" s="146">
        <v>0</v>
      </c>
      <c r="J31" s="146">
        <v>0</v>
      </c>
      <c r="K31" s="146">
        <v>0</v>
      </c>
      <c r="L31" s="146">
        <f t="shared" si="3"/>
        <v>0</v>
      </c>
      <c r="M31" s="146">
        <v>0</v>
      </c>
      <c r="N31" s="146">
        <v>0</v>
      </c>
      <c r="O31" s="146">
        <v>0</v>
      </c>
      <c r="P31" s="146">
        <f t="shared" si="4"/>
        <v>0</v>
      </c>
    </row>
    <row r="32" spans="1:16" x14ac:dyDescent="0.25">
      <c r="A32" s="145">
        <v>23</v>
      </c>
      <c r="B32" s="166" t="s">
        <v>88</v>
      </c>
      <c r="C32" s="49" t="s">
        <v>89</v>
      </c>
      <c r="D32" s="146">
        <v>0</v>
      </c>
      <c r="E32" s="146">
        <v>0</v>
      </c>
      <c r="F32" s="146">
        <v>0</v>
      </c>
      <c r="G32" s="146">
        <v>0</v>
      </c>
      <c r="H32" s="146">
        <f t="shared" si="2"/>
        <v>0</v>
      </c>
      <c r="I32" s="146">
        <v>874</v>
      </c>
      <c r="J32" s="146">
        <v>86</v>
      </c>
      <c r="K32" s="146">
        <v>24</v>
      </c>
      <c r="L32" s="146">
        <f t="shared" si="3"/>
        <v>984</v>
      </c>
      <c r="M32" s="146">
        <v>0</v>
      </c>
      <c r="N32" s="146">
        <v>0</v>
      </c>
      <c r="O32" s="146">
        <v>0</v>
      </c>
      <c r="P32" s="146">
        <f t="shared" si="4"/>
        <v>0</v>
      </c>
    </row>
    <row r="33" spans="1:16" s="148" customFormat="1" ht="12.75" customHeight="1" x14ac:dyDescent="0.25">
      <c r="A33" s="145">
        <v>24</v>
      </c>
      <c r="B33" s="166" t="s">
        <v>90</v>
      </c>
      <c r="C33" s="49" t="s">
        <v>91</v>
      </c>
      <c r="D33" s="146">
        <v>0</v>
      </c>
      <c r="E33" s="146">
        <v>0</v>
      </c>
      <c r="F33" s="146">
        <v>0</v>
      </c>
      <c r="G33" s="146">
        <v>0</v>
      </c>
      <c r="H33" s="146">
        <f t="shared" si="2"/>
        <v>0</v>
      </c>
      <c r="I33" s="146">
        <v>0</v>
      </c>
      <c r="J33" s="146">
        <v>0</v>
      </c>
      <c r="K33" s="146">
        <v>0</v>
      </c>
      <c r="L33" s="146">
        <f t="shared" si="3"/>
        <v>0</v>
      </c>
      <c r="M33" s="146">
        <v>0</v>
      </c>
      <c r="N33" s="146">
        <v>0</v>
      </c>
      <c r="O33" s="146">
        <v>0</v>
      </c>
      <c r="P33" s="146">
        <f t="shared" si="4"/>
        <v>0</v>
      </c>
    </row>
    <row r="34" spans="1:16" s="148" customFormat="1" ht="24" x14ac:dyDescent="0.25">
      <c r="A34" s="1132">
        <v>25</v>
      </c>
      <c r="B34" s="70" t="s">
        <v>92</v>
      </c>
      <c r="C34" s="144" t="s">
        <v>784</v>
      </c>
      <c r="D34" s="146">
        <v>2572</v>
      </c>
      <c r="E34" s="146">
        <v>9127</v>
      </c>
      <c r="F34" s="146">
        <v>165</v>
      </c>
      <c r="G34" s="146">
        <v>1312</v>
      </c>
      <c r="H34" s="556">
        <f t="shared" si="2"/>
        <v>13176</v>
      </c>
      <c r="I34" s="146">
        <v>5226</v>
      </c>
      <c r="J34" s="556">
        <v>485</v>
      </c>
      <c r="K34" s="556">
        <v>0</v>
      </c>
      <c r="L34" s="556">
        <f t="shared" si="3"/>
        <v>5711</v>
      </c>
      <c r="M34" s="556">
        <v>0</v>
      </c>
      <c r="N34" s="556">
        <v>0</v>
      </c>
      <c r="O34" s="556">
        <v>0</v>
      </c>
      <c r="P34" s="556">
        <f t="shared" si="4"/>
        <v>0</v>
      </c>
    </row>
    <row r="35" spans="1:16" s="26" customFormat="1" x14ac:dyDescent="0.25">
      <c r="A35" s="1134"/>
      <c r="B35" s="604" t="s">
        <v>94</v>
      </c>
      <c r="C35" s="30" t="s">
        <v>95</v>
      </c>
      <c r="D35" s="146">
        <v>0</v>
      </c>
      <c r="E35" s="146">
        <v>0</v>
      </c>
      <c r="F35" s="146">
        <v>0</v>
      </c>
      <c r="G35" s="146">
        <v>0</v>
      </c>
      <c r="H35" s="556">
        <f t="shared" si="2"/>
        <v>0</v>
      </c>
      <c r="I35" s="146">
        <v>0</v>
      </c>
      <c r="J35" s="556">
        <v>0</v>
      </c>
      <c r="K35" s="556">
        <v>0</v>
      </c>
      <c r="L35" s="556">
        <f t="shared" si="3"/>
        <v>0</v>
      </c>
      <c r="M35" s="556">
        <v>0</v>
      </c>
      <c r="N35" s="556">
        <v>0</v>
      </c>
      <c r="O35" s="556">
        <v>0</v>
      </c>
      <c r="P35" s="556">
        <f t="shared" si="4"/>
        <v>0</v>
      </c>
    </row>
    <row r="36" spans="1:16" s="26" customFormat="1" x14ac:dyDescent="0.25">
      <c r="A36" s="588">
        <v>26</v>
      </c>
      <c r="B36" s="71" t="s">
        <v>96</v>
      </c>
      <c r="C36" s="30" t="s">
        <v>97</v>
      </c>
      <c r="D36" s="146">
        <v>0</v>
      </c>
      <c r="E36" s="146">
        <v>0</v>
      </c>
      <c r="F36" s="146">
        <v>0</v>
      </c>
      <c r="G36" s="146">
        <v>0</v>
      </c>
      <c r="H36" s="556">
        <f t="shared" si="2"/>
        <v>0</v>
      </c>
      <c r="I36" s="146">
        <v>0</v>
      </c>
      <c r="J36" s="556">
        <v>0</v>
      </c>
      <c r="K36" s="556">
        <v>0</v>
      </c>
      <c r="L36" s="556">
        <f t="shared" si="3"/>
        <v>0</v>
      </c>
      <c r="M36" s="556">
        <v>0</v>
      </c>
      <c r="N36" s="556">
        <v>0</v>
      </c>
      <c r="O36" s="556">
        <v>0</v>
      </c>
      <c r="P36" s="556">
        <f t="shared" si="4"/>
        <v>0</v>
      </c>
    </row>
    <row r="37" spans="1:16" s="26" customFormat="1" x14ac:dyDescent="0.25">
      <c r="A37" s="588">
        <v>27</v>
      </c>
      <c r="B37" s="71" t="s">
        <v>26</v>
      </c>
      <c r="C37" s="30" t="s">
        <v>27</v>
      </c>
      <c r="D37" s="146">
        <v>0</v>
      </c>
      <c r="E37" s="146">
        <v>4784</v>
      </c>
      <c r="F37" s="146">
        <v>0</v>
      </c>
      <c r="G37" s="146">
        <v>768</v>
      </c>
      <c r="H37" s="556">
        <f t="shared" si="2"/>
        <v>5552</v>
      </c>
      <c r="I37" s="146">
        <v>0</v>
      </c>
      <c r="J37" s="556">
        <v>0</v>
      </c>
      <c r="K37" s="556">
        <v>0</v>
      </c>
      <c r="L37" s="556">
        <f t="shared" si="3"/>
        <v>0</v>
      </c>
      <c r="M37" s="556">
        <v>0</v>
      </c>
      <c r="N37" s="556">
        <v>0</v>
      </c>
      <c r="O37" s="556">
        <v>0</v>
      </c>
      <c r="P37" s="556">
        <f t="shared" si="4"/>
        <v>0</v>
      </c>
    </row>
    <row r="38" spans="1:16" s="26" customFormat="1" x14ac:dyDescent="0.25">
      <c r="A38" s="588">
        <v>28</v>
      </c>
      <c r="B38" s="70" t="s">
        <v>98</v>
      </c>
      <c r="C38" s="30" t="s">
        <v>99</v>
      </c>
      <c r="D38" s="146">
        <v>0</v>
      </c>
      <c r="E38" s="146">
        <v>5410</v>
      </c>
      <c r="F38" s="146">
        <v>280</v>
      </c>
      <c r="G38" s="146">
        <v>0</v>
      </c>
      <c r="H38" s="556">
        <f t="shared" si="2"/>
        <v>5690</v>
      </c>
      <c r="I38" s="146">
        <v>0</v>
      </c>
      <c r="J38" s="556">
        <v>0</v>
      </c>
      <c r="K38" s="556">
        <v>0</v>
      </c>
      <c r="L38" s="556">
        <f t="shared" si="3"/>
        <v>0</v>
      </c>
      <c r="M38" s="556">
        <v>0</v>
      </c>
      <c r="N38" s="556">
        <v>0</v>
      </c>
      <c r="O38" s="556">
        <v>0</v>
      </c>
      <c r="P38" s="556">
        <f t="shared" si="4"/>
        <v>0</v>
      </c>
    </row>
    <row r="39" spans="1:16" s="26" customFormat="1" x14ac:dyDescent="0.25">
      <c r="A39" s="588">
        <v>29</v>
      </c>
      <c r="B39" s="71" t="s">
        <v>100</v>
      </c>
      <c r="C39" s="30" t="s">
        <v>101</v>
      </c>
      <c r="D39" s="146">
        <v>0</v>
      </c>
      <c r="E39" s="146">
        <v>0</v>
      </c>
      <c r="F39" s="146">
        <v>0</v>
      </c>
      <c r="G39" s="146">
        <v>0</v>
      </c>
      <c r="H39" s="556">
        <f t="shared" si="2"/>
        <v>0</v>
      </c>
      <c r="I39" s="146">
        <v>0</v>
      </c>
      <c r="J39" s="556">
        <v>0</v>
      </c>
      <c r="K39" s="556">
        <v>0</v>
      </c>
      <c r="L39" s="556">
        <f t="shared" si="3"/>
        <v>0</v>
      </c>
      <c r="M39" s="556">
        <v>0</v>
      </c>
      <c r="N39" s="556">
        <v>0</v>
      </c>
      <c r="O39" s="556">
        <v>0</v>
      </c>
      <c r="P39" s="556">
        <f t="shared" si="4"/>
        <v>0</v>
      </c>
    </row>
    <row r="40" spans="1:16" s="148" customFormat="1" x14ac:dyDescent="0.25">
      <c r="A40" s="588">
        <v>30</v>
      </c>
      <c r="B40" s="604" t="s">
        <v>102</v>
      </c>
      <c r="C40" s="30" t="s">
        <v>103</v>
      </c>
      <c r="D40" s="146">
        <v>0</v>
      </c>
      <c r="E40" s="146">
        <v>2186</v>
      </c>
      <c r="F40" s="146">
        <v>55</v>
      </c>
      <c r="G40" s="146">
        <v>0</v>
      </c>
      <c r="H40" s="556">
        <f t="shared" si="2"/>
        <v>2241</v>
      </c>
      <c r="I40" s="146">
        <v>0</v>
      </c>
      <c r="J40" s="556">
        <v>0</v>
      </c>
      <c r="K40" s="556">
        <v>0</v>
      </c>
      <c r="L40" s="556">
        <f t="shared" si="3"/>
        <v>0</v>
      </c>
      <c r="M40" s="556">
        <v>0</v>
      </c>
      <c r="N40" s="556">
        <v>0</v>
      </c>
      <c r="O40" s="556">
        <v>0</v>
      </c>
      <c r="P40" s="556">
        <f t="shared" si="4"/>
        <v>0</v>
      </c>
    </row>
    <row r="41" spans="1:16" x14ac:dyDescent="0.25">
      <c r="A41" s="588">
        <v>31</v>
      </c>
      <c r="B41" s="71" t="s">
        <v>104</v>
      </c>
      <c r="C41" s="30" t="s">
        <v>105</v>
      </c>
      <c r="D41" s="146">
        <v>0</v>
      </c>
      <c r="E41" s="146">
        <v>0</v>
      </c>
      <c r="F41" s="146">
        <v>0</v>
      </c>
      <c r="G41" s="146">
        <v>0</v>
      </c>
      <c r="H41" s="556">
        <f t="shared" si="2"/>
        <v>0</v>
      </c>
      <c r="I41" s="146">
        <v>0</v>
      </c>
      <c r="J41" s="556">
        <v>0</v>
      </c>
      <c r="K41" s="556">
        <v>0</v>
      </c>
      <c r="L41" s="556">
        <f t="shared" si="3"/>
        <v>0</v>
      </c>
      <c r="M41" s="556">
        <v>0</v>
      </c>
      <c r="N41" s="556">
        <v>0</v>
      </c>
      <c r="O41" s="556">
        <v>0</v>
      </c>
      <c r="P41" s="556">
        <f t="shared" si="4"/>
        <v>0</v>
      </c>
    </row>
    <row r="42" spans="1:16" s="26" customFormat="1" x14ac:dyDescent="0.25">
      <c r="A42" s="588">
        <v>32</v>
      </c>
      <c r="B42" s="70" t="s">
        <v>106</v>
      </c>
      <c r="C42" s="30" t="s">
        <v>107</v>
      </c>
      <c r="D42" s="146">
        <v>0</v>
      </c>
      <c r="E42" s="146">
        <v>0</v>
      </c>
      <c r="F42" s="146">
        <v>0</v>
      </c>
      <c r="G42" s="146">
        <v>0</v>
      </c>
      <c r="H42" s="556">
        <f t="shared" si="2"/>
        <v>0</v>
      </c>
      <c r="I42" s="146">
        <v>0</v>
      </c>
      <c r="J42" s="556">
        <v>0</v>
      </c>
      <c r="K42" s="556">
        <v>0</v>
      </c>
      <c r="L42" s="556">
        <f t="shared" si="3"/>
        <v>0</v>
      </c>
      <c r="M42" s="556">
        <v>0</v>
      </c>
      <c r="N42" s="556">
        <v>0</v>
      </c>
      <c r="O42" s="556">
        <v>0</v>
      </c>
      <c r="P42" s="556">
        <f t="shared" si="4"/>
        <v>0</v>
      </c>
    </row>
    <row r="43" spans="1:16" s="26" customFormat="1" x14ac:dyDescent="0.25">
      <c r="A43" s="588">
        <v>33</v>
      </c>
      <c r="B43" s="589" t="s">
        <v>108</v>
      </c>
      <c r="C43" s="590" t="s">
        <v>109</v>
      </c>
      <c r="D43" s="146">
        <v>0</v>
      </c>
      <c r="E43" s="146">
        <v>0</v>
      </c>
      <c r="F43" s="146">
        <v>0</v>
      </c>
      <c r="G43" s="146">
        <v>0</v>
      </c>
      <c r="H43" s="556">
        <f t="shared" si="2"/>
        <v>0</v>
      </c>
      <c r="I43" s="146">
        <v>0</v>
      </c>
      <c r="J43" s="556">
        <v>0</v>
      </c>
      <c r="K43" s="556">
        <v>0</v>
      </c>
      <c r="L43" s="556">
        <f t="shared" si="3"/>
        <v>0</v>
      </c>
      <c r="M43" s="556">
        <v>0</v>
      </c>
      <c r="N43" s="556">
        <v>0</v>
      </c>
      <c r="O43" s="556">
        <v>0</v>
      </c>
      <c r="P43" s="556">
        <f t="shared" si="4"/>
        <v>0</v>
      </c>
    </row>
    <row r="44" spans="1:16" s="26" customFormat="1" x14ac:dyDescent="0.25">
      <c r="A44" s="588">
        <v>34</v>
      </c>
      <c r="B44" s="70" t="s">
        <v>110</v>
      </c>
      <c r="C44" s="30" t="s">
        <v>111</v>
      </c>
      <c r="D44" s="146">
        <v>0</v>
      </c>
      <c r="E44" s="146">
        <v>0</v>
      </c>
      <c r="F44" s="146">
        <v>0</v>
      </c>
      <c r="G44" s="146">
        <v>0</v>
      </c>
      <c r="H44" s="556">
        <f t="shared" si="2"/>
        <v>0</v>
      </c>
      <c r="I44" s="146">
        <v>0</v>
      </c>
      <c r="J44" s="556">
        <v>0</v>
      </c>
      <c r="K44" s="556">
        <v>0</v>
      </c>
      <c r="L44" s="556">
        <f t="shared" si="3"/>
        <v>0</v>
      </c>
      <c r="M44" s="556">
        <v>0</v>
      </c>
      <c r="N44" s="556">
        <v>0</v>
      </c>
      <c r="O44" s="556">
        <v>0</v>
      </c>
      <c r="P44" s="556">
        <f t="shared" si="4"/>
        <v>0</v>
      </c>
    </row>
    <row r="45" spans="1:16" x14ac:dyDescent="0.25">
      <c r="A45" s="588">
        <v>35</v>
      </c>
      <c r="B45" s="70" t="s">
        <v>112</v>
      </c>
      <c r="C45" s="30" t="s">
        <v>113</v>
      </c>
      <c r="D45" s="146">
        <v>0</v>
      </c>
      <c r="E45" s="146">
        <v>821</v>
      </c>
      <c r="F45" s="146">
        <v>0</v>
      </c>
      <c r="G45" s="146">
        <v>0</v>
      </c>
      <c r="H45" s="556">
        <f t="shared" si="2"/>
        <v>821</v>
      </c>
      <c r="I45" s="146">
        <v>0</v>
      </c>
      <c r="J45" s="556">
        <v>0</v>
      </c>
      <c r="K45" s="556">
        <v>0</v>
      </c>
      <c r="L45" s="556">
        <f t="shared" si="3"/>
        <v>0</v>
      </c>
      <c r="M45" s="556">
        <v>0</v>
      </c>
      <c r="N45" s="556">
        <v>0</v>
      </c>
      <c r="O45" s="556">
        <v>0</v>
      </c>
      <c r="P45" s="556">
        <f t="shared" si="4"/>
        <v>0</v>
      </c>
    </row>
    <row r="46" spans="1:16" s="26" customFormat="1" x14ac:dyDescent="0.25">
      <c r="A46" s="588">
        <v>36</v>
      </c>
      <c r="B46" s="604" t="s">
        <v>114</v>
      </c>
      <c r="C46" s="30" t="s">
        <v>115</v>
      </c>
      <c r="D46" s="146">
        <v>0</v>
      </c>
      <c r="E46" s="146">
        <v>0</v>
      </c>
      <c r="F46" s="146">
        <v>0</v>
      </c>
      <c r="G46" s="146">
        <v>0</v>
      </c>
      <c r="H46" s="556">
        <f t="shared" si="2"/>
        <v>0</v>
      </c>
      <c r="I46" s="146">
        <v>0</v>
      </c>
      <c r="J46" s="556">
        <v>0</v>
      </c>
      <c r="K46" s="556">
        <v>0</v>
      </c>
      <c r="L46" s="556">
        <f t="shared" si="3"/>
        <v>0</v>
      </c>
      <c r="M46" s="556">
        <v>0</v>
      </c>
      <c r="N46" s="556">
        <v>0</v>
      </c>
      <c r="O46" s="556">
        <v>0</v>
      </c>
      <c r="P46" s="556">
        <f t="shared" si="4"/>
        <v>0</v>
      </c>
    </row>
    <row r="47" spans="1:16" s="26" customFormat="1" x14ac:dyDescent="0.25">
      <c r="A47" s="588">
        <v>37</v>
      </c>
      <c r="B47" s="71" t="s">
        <v>116</v>
      </c>
      <c r="C47" s="30" t="s">
        <v>117</v>
      </c>
      <c r="D47" s="146">
        <v>0</v>
      </c>
      <c r="E47" s="146">
        <v>541</v>
      </c>
      <c r="F47" s="146">
        <v>10</v>
      </c>
      <c r="G47" s="146">
        <v>87</v>
      </c>
      <c r="H47" s="556">
        <f t="shared" si="2"/>
        <v>638</v>
      </c>
      <c r="I47" s="146">
        <v>245</v>
      </c>
      <c r="J47" s="556">
        <v>0</v>
      </c>
      <c r="K47" s="556">
        <v>0</v>
      </c>
      <c r="L47" s="556">
        <f t="shared" si="3"/>
        <v>245</v>
      </c>
      <c r="M47" s="556">
        <v>0</v>
      </c>
      <c r="N47" s="556">
        <v>0</v>
      </c>
      <c r="O47" s="556">
        <v>0</v>
      </c>
      <c r="P47" s="556">
        <f t="shared" si="4"/>
        <v>0</v>
      </c>
    </row>
    <row r="48" spans="1:16" s="26" customFormat="1" x14ac:dyDescent="0.25">
      <c r="A48" s="588">
        <v>38</v>
      </c>
      <c r="B48" s="604" t="s">
        <v>28</v>
      </c>
      <c r="C48" s="30" t="s">
        <v>29</v>
      </c>
      <c r="D48" s="146">
        <v>0</v>
      </c>
      <c r="E48" s="146">
        <v>4960</v>
      </c>
      <c r="F48" s="146">
        <v>90</v>
      </c>
      <c r="G48" s="146">
        <v>0</v>
      </c>
      <c r="H48" s="556">
        <f t="shared" si="2"/>
        <v>5050</v>
      </c>
      <c r="I48" s="146">
        <v>3239</v>
      </c>
      <c r="J48" s="556">
        <v>80</v>
      </c>
      <c r="K48" s="556">
        <v>30</v>
      </c>
      <c r="L48" s="556">
        <f t="shared" si="3"/>
        <v>3349</v>
      </c>
      <c r="M48" s="556">
        <v>0</v>
      </c>
      <c r="N48" s="556">
        <v>0</v>
      </c>
      <c r="O48" s="556">
        <v>0</v>
      </c>
      <c r="P48" s="556">
        <f t="shared" si="4"/>
        <v>0</v>
      </c>
    </row>
    <row r="49" spans="1:16" s="26" customFormat="1" x14ac:dyDescent="0.25">
      <c r="A49" s="588">
        <v>39</v>
      </c>
      <c r="B49" s="70" t="s">
        <v>118</v>
      </c>
      <c r="C49" s="30" t="s">
        <v>119</v>
      </c>
      <c r="D49" s="146">
        <v>0</v>
      </c>
      <c r="E49" s="146">
        <v>0</v>
      </c>
      <c r="F49" s="146">
        <v>0</v>
      </c>
      <c r="G49" s="146">
        <v>0</v>
      </c>
      <c r="H49" s="556">
        <f t="shared" si="2"/>
        <v>0</v>
      </c>
      <c r="I49" s="146">
        <v>0</v>
      </c>
      <c r="J49" s="556">
        <v>0</v>
      </c>
      <c r="K49" s="556">
        <v>0</v>
      </c>
      <c r="L49" s="556">
        <f t="shared" si="3"/>
        <v>0</v>
      </c>
      <c r="M49" s="556">
        <v>0</v>
      </c>
      <c r="N49" s="556">
        <v>0</v>
      </c>
      <c r="O49" s="556">
        <v>0</v>
      </c>
      <c r="P49" s="556">
        <f t="shared" si="4"/>
        <v>0</v>
      </c>
    </row>
    <row r="50" spans="1:16" s="26" customFormat="1" x14ac:dyDescent="0.25">
      <c r="A50" s="588">
        <v>40</v>
      </c>
      <c r="B50" s="70" t="s">
        <v>120</v>
      </c>
      <c r="C50" s="30" t="s">
        <v>121</v>
      </c>
      <c r="D50" s="146">
        <v>0</v>
      </c>
      <c r="E50" s="146">
        <v>129</v>
      </c>
      <c r="F50" s="146">
        <v>2</v>
      </c>
      <c r="G50" s="146">
        <v>0</v>
      </c>
      <c r="H50" s="556">
        <f t="shared" si="2"/>
        <v>131</v>
      </c>
      <c r="I50" s="146">
        <v>0</v>
      </c>
      <c r="J50" s="556">
        <v>0</v>
      </c>
      <c r="K50" s="556">
        <v>0</v>
      </c>
      <c r="L50" s="556">
        <f t="shared" si="3"/>
        <v>0</v>
      </c>
      <c r="M50" s="556">
        <v>0</v>
      </c>
      <c r="N50" s="556">
        <v>0</v>
      </c>
      <c r="O50" s="556">
        <v>0</v>
      </c>
      <c r="P50" s="556">
        <f t="shared" si="4"/>
        <v>0</v>
      </c>
    </row>
    <row r="51" spans="1:16" s="148" customFormat="1" x14ac:dyDescent="0.25">
      <c r="A51" s="588">
        <v>41</v>
      </c>
      <c r="B51" s="604" t="s">
        <v>122</v>
      </c>
      <c r="C51" s="30" t="s">
        <v>123</v>
      </c>
      <c r="D51" s="146">
        <v>0</v>
      </c>
      <c r="E51" s="146">
        <v>0</v>
      </c>
      <c r="F51" s="146">
        <v>0</v>
      </c>
      <c r="G51" s="146">
        <v>0</v>
      </c>
      <c r="H51" s="556">
        <f t="shared" si="2"/>
        <v>0</v>
      </c>
      <c r="I51" s="146">
        <v>0</v>
      </c>
      <c r="J51" s="556">
        <v>0</v>
      </c>
      <c r="K51" s="556">
        <v>0</v>
      </c>
      <c r="L51" s="556">
        <f t="shared" si="3"/>
        <v>0</v>
      </c>
      <c r="M51" s="556">
        <v>0</v>
      </c>
      <c r="N51" s="556">
        <v>0</v>
      </c>
      <c r="O51" s="556">
        <v>0</v>
      </c>
      <c r="P51" s="556">
        <f t="shared" si="4"/>
        <v>0</v>
      </c>
    </row>
    <row r="52" spans="1:16" s="26" customFormat="1" x14ac:dyDescent="0.25">
      <c r="A52" s="588">
        <v>42</v>
      </c>
      <c r="B52" s="71" t="s">
        <v>124</v>
      </c>
      <c r="C52" s="30" t="s">
        <v>125</v>
      </c>
      <c r="D52" s="146">
        <v>0</v>
      </c>
      <c r="E52" s="146">
        <v>681</v>
      </c>
      <c r="F52" s="146">
        <v>12</v>
      </c>
      <c r="G52" s="146">
        <v>110</v>
      </c>
      <c r="H52" s="556">
        <f t="shared" si="2"/>
        <v>803</v>
      </c>
      <c r="I52" s="146">
        <v>0</v>
      </c>
      <c r="J52" s="556">
        <v>0</v>
      </c>
      <c r="K52" s="556">
        <v>0</v>
      </c>
      <c r="L52" s="556">
        <f t="shared" si="3"/>
        <v>0</v>
      </c>
      <c r="M52" s="556">
        <v>0</v>
      </c>
      <c r="N52" s="556">
        <v>0</v>
      </c>
      <c r="O52" s="556">
        <v>0</v>
      </c>
      <c r="P52" s="556">
        <f t="shared" si="4"/>
        <v>0</v>
      </c>
    </row>
    <row r="53" spans="1:16" s="26" customFormat="1" x14ac:dyDescent="0.25">
      <c r="A53" s="588">
        <v>43</v>
      </c>
      <c r="B53" s="604" t="s">
        <v>126</v>
      </c>
      <c r="C53" s="30" t="s">
        <v>127</v>
      </c>
      <c r="D53" s="146">
        <v>0</v>
      </c>
      <c r="E53" s="146">
        <v>0</v>
      </c>
      <c r="F53" s="146">
        <v>0</v>
      </c>
      <c r="G53" s="146">
        <v>0</v>
      </c>
      <c r="H53" s="556">
        <f t="shared" si="2"/>
        <v>0</v>
      </c>
      <c r="I53" s="146">
        <v>0</v>
      </c>
      <c r="J53" s="556">
        <v>0</v>
      </c>
      <c r="K53" s="556">
        <v>0</v>
      </c>
      <c r="L53" s="556">
        <f t="shared" si="3"/>
        <v>0</v>
      </c>
      <c r="M53" s="556">
        <v>0</v>
      </c>
      <c r="N53" s="556">
        <v>0</v>
      </c>
      <c r="O53" s="556">
        <v>0</v>
      </c>
      <c r="P53" s="556">
        <f t="shared" si="4"/>
        <v>0</v>
      </c>
    </row>
    <row r="54" spans="1:16" s="26" customFormat="1" x14ac:dyDescent="0.25">
      <c r="A54" s="588">
        <v>44</v>
      </c>
      <c r="B54" s="71" t="s">
        <v>128</v>
      </c>
      <c r="C54" s="30" t="s">
        <v>129</v>
      </c>
      <c r="D54" s="146">
        <v>0</v>
      </c>
      <c r="E54" s="146">
        <v>1913</v>
      </c>
      <c r="F54" s="146">
        <v>0</v>
      </c>
      <c r="G54" s="146">
        <v>0</v>
      </c>
      <c r="H54" s="556">
        <f t="shared" si="2"/>
        <v>1913</v>
      </c>
      <c r="I54" s="146">
        <v>0</v>
      </c>
      <c r="J54" s="556">
        <v>0</v>
      </c>
      <c r="K54" s="556">
        <v>0</v>
      </c>
      <c r="L54" s="556">
        <f t="shared" si="3"/>
        <v>0</v>
      </c>
      <c r="M54" s="556">
        <v>0</v>
      </c>
      <c r="N54" s="556">
        <v>0</v>
      </c>
      <c r="O54" s="556">
        <v>0</v>
      </c>
      <c r="P54" s="556">
        <f t="shared" si="4"/>
        <v>0</v>
      </c>
    </row>
    <row r="55" spans="1:16" s="26" customFormat="1" x14ac:dyDescent="0.25">
      <c r="A55" s="588">
        <v>45</v>
      </c>
      <c r="B55" s="604" t="s">
        <v>130</v>
      </c>
      <c r="C55" s="30" t="s">
        <v>131</v>
      </c>
      <c r="D55" s="146">
        <v>0</v>
      </c>
      <c r="E55" s="146">
        <v>0</v>
      </c>
      <c r="F55" s="146">
        <v>0</v>
      </c>
      <c r="G55" s="146">
        <v>0</v>
      </c>
      <c r="H55" s="556">
        <f t="shared" si="2"/>
        <v>0</v>
      </c>
      <c r="I55" s="146">
        <v>0</v>
      </c>
      <c r="J55" s="556">
        <v>0</v>
      </c>
      <c r="K55" s="556">
        <v>0</v>
      </c>
      <c r="L55" s="556">
        <f t="shared" si="3"/>
        <v>0</v>
      </c>
      <c r="M55" s="556">
        <v>0</v>
      </c>
      <c r="N55" s="556">
        <v>0</v>
      </c>
      <c r="O55" s="556">
        <v>0</v>
      </c>
      <c r="P55" s="556">
        <f t="shared" si="4"/>
        <v>0</v>
      </c>
    </row>
    <row r="56" spans="1:16" s="26" customFormat="1" x14ac:dyDescent="0.25">
      <c r="A56" s="588">
        <v>46</v>
      </c>
      <c r="B56" s="71" t="s">
        <v>132</v>
      </c>
      <c r="C56" s="30" t="s">
        <v>133</v>
      </c>
      <c r="D56" s="146">
        <v>0</v>
      </c>
      <c r="E56" s="146">
        <v>0</v>
      </c>
      <c r="F56" s="146">
        <v>0</v>
      </c>
      <c r="G56" s="146">
        <v>0</v>
      </c>
      <c r="H56" s="556">
        <f t="shared" si="2"/>
        <v>0</v>
      </c>
      <c r="I56" s="146">
        <v>0</v>
      </c>
      <c r="J56" s="556">
        <v>0</v>
      </c>
      <c r="K56" s="556">
        <v>0</v>
      </c>
      <c r="L56" s="556">
        <f t="shared" si="3"/>
        <v>0</v>
      </c>
      <c r="M56" s="556">
        <v>0</v>
      </c>
      <c r="N56" s="556">
        <v>0</v>
      </c>
      <c r="O56" s="556">
        <v>0</v>
      </c>
      <c r="P56" s="556">
        <f t="shared" si="4"/>
        <v>0</v>
      </c>
    </row>
    <row r="57" spans="1:16" s="26" customFormat="1" x14ac:dyDescent="0.25">
      <c r="A57" s="588">
        <v>47</v>
      </c>
      <c r="B57" s="604" t="s">
        <v>134</v>
      </c>
      <c r="C57" s="30" t="s">
        <v>135</v>
      </c>
      <c r="D57" s="146">
        <v>0</v>
      </c>
      <c r="E57" s="146">
        <v>0</v>
      </c>
      <c r="F57" s="146">
        <v>0</v>
      </c>
      <c r="G57" s="146">
        <v>0</v>
      </c>
      <c r="H57" s="556">
        <f t="shared" si="2"/>
        <v>0</v>
      </c>
      <c r="I57" s="146">
        <v>0</v>
      </c>
      <c r="J57" s="556">
        <v>0</v>
      </c>
      <c r="K57" s="556">
        <v>0</v>
      </c>
      <c r="L57" s="556">
        <f t="shared" si="3"/>
        <v>0</v>
      </c>
      <c r="M57" s="556">
        <v>0</v>
      </c>
      <c r="N57" s="556">
        <v>0</v>
      </c>
      <c r="O57" s="556">
        <v>0</v>
      </c>
      <c r="P57" s="556">
        <f t="shared" si="4"/>
        <v>0</v>
      </c>
    </row>
    <row r="58" spans="1:16" s="26" customFormat="1" x14ac:dyDescent="0.25">
      <c r="A58" s="588">
        <v>48</v>
      </c>
      <c r="B58" s="604" t="s">
        <v>136</v>
      </c>
      <c r="C58" s="30" t="s">
        <v>137</v>
      </c>
      <c r="D58" s="146">
        <v>0</v>
      </c>
      <c r="E58" s="146">
        <v>4482</v>
      </c>
      <c r="F58" s="146">
        <v>0</v>
      </c>
      <c r="G58" s="146">
        <v>0</v>
      </c>
      <c r="H58" s="556">
        <f t="shared" si="2"/>
        <v>4482</v>
      </c>
      <c r="I58" s="146">
        <v>0</v>
      </c>
      <c r="J58" s="556">
        <v>0</v>
      </c>
      <c r="K58" s="556">
        <v>0</v>
      </c>
      <c r="L58" s="556">
        <f t="shared" si="3"/>
        <v>0</v>
      </c>
      <c r="M58" s="556">
        <v>0</v>
      </c>
      <c r="N58" s="556">
        <v>0</v>
      </c>
      <c r="O58" s="556">
        <v>0</v>
      </c>
      <c r="P58" s="556">
        <f t="shared" si="4"/>
        <v>0</v>
      </c>
    </row>
    <row r="59" spans="1:16" s="26" customFormat="1" x14ac:dyDescent="0.25">
      <c r="A59" s="588">
        <v>49</v>
      </c>
      <c r="B59" s="604" t="s">
        <v>138</v>
      </c>
      <c r="C59" s="30" t="s">
        <v>139</v>
      </c>
      <c r="D59" s="146">
        <v>0</v>
      </c>
      <c r="E59" s="146">
        <v>0</v>
      </c>
      <c r="F59" s="146">
        <v>0</v>
      </c>
      <c r="G59" s="146">
        <v>0</v>
      </c>
      <c r="H59" s="556">
        <f t="shared" si="2"/>
        <v>0</v>
      </c>
      <c r="I59" s="146">
        <v>0</v>
      </c>
      <c r="J59" s="556">
        <v>0</v>
      </c>
      <c r="K59" s="556">
        <v>0</v>
      </c>
      <c r="L59" s="556">
        <f t="shared" si="3"/>
        <v>0</v>
      </c>
      <c r="M59" s="556">
        <v>0</v>
      </c>
      <c r="N59" s="556">
        <v>0</v>
      </c>
      <c r="O59" s="556">
        <v>0</v>
      </c>
      <c r="P59" s="556">
        <f t="shared" si="4"/>
        <v>0</v>
      </c>
    </row>
    <row r="60" spans="1:16" s="26" customFormat="1" x14ac:dyDescent="0.25">
      <c r="A60" s="588">
        <v>50</v>
      </c>
      <c r="B60" s="604" t="s">
        <v>140</v>
      </c>
      <c r="C60" s="30" t="s">
        <v>141</v>
      </c>
      <c r="D60" s="146">
        <v>0</v>
      </c>
      <c r="E60" s="146">
        <v>0</v>
      </c>
      <c r="F60" s="146">
        <v>0</v>
      </c>
      <c r="G60" s="146">
        <v>0</v>
      </c>
      <c r="H60" s="556">
        <f t="shared" si="2"/>
        <v>0</v>
      </c>
      <c r="I60" s="146">
        <v>0</v>
      </c>
      <c r="J60" s="556">
        <v>0</v>
      </c>
      <c r="K60" s="556">
        <v>0</v>
      </c>
      <c r="L60" s="556">
        <f t="shared" si="3"/>
        <v>0</v>
      </c>
      <c r="M60" s="556">
        <v>0</v>
      </c>
      <c r="N60" s="556">
        <v>0</v>
      </c>
      <c r="O60" s="556">
        <v>0</v>
      </c>
      <c r="P60" s="556">
        <f t="shared" si="4"/>
        <v>0</v>
      </c>
    </row>
    <row r="61" spans="1:16" s="26" customFormat="1" x14ac:dyDescent="0.25">
      <c r="A61" s="588">
        <v>51</v>
      </c>
      <c r="B61" s="71" t="s">
        <v>142</v>
      </c>
      <c r="C61" s="30" t="s">
        <v>143</v>
      </c>
      <c r="D61" s="146">
        <v>0</v>
      </c>
      <c r="E61" s="146">
        <v>603</v>
      </c>
      <c r="F61" s="146">
        <v>10</v>
      </c>
      <c r="G61" s="146">
        <v>0</v>
      </c>
      <c r="H61" s="556">
        <f t="shared" si="2"/>
        <v>613</v>
      </c>
      <c r="I61" s="146">
        <v>0</v>
      </c>
      <c r="J61" s="556">
        <v>0</v>
      </c>
      <c r="K61" s="556">
        <v>0</v>
      </c>
      <c r="L61" s="556">
        <f t="shared" si="3"/>
        <v>0</v>
      </c>
      <c r="M61" s="556">
        <v>0</v>
      </c>
      <c r="N61" s="556">
        <v>0</v>
      </c>
      <c r="O61" s="556">
        <v>0</v>
      </c>
      <c r="P61" s="556">
        <f t="shared" si="4"/>
        <v>0</v>
      </c>
    </row>
    <row r="62" spans="1:16" s="26" customFormat="1" x14ac:dyDescent="0.25">
      <c r="A62" s="588">
        <v>52</v>
      </c>
      <c r="B62" s="604" t="s">
        <v>144</v>
      </c>
      <c r="C62" s="30" t="s">
        <v>145</v>
      </c>
      <c r="D62" s="146">
        <v>0</v>
      </c>
      <c r="E62" s="146">
        <v>0</v>
      </c>
      <c r="F62" s="146">
        <v>0</v>
      </c>
      <c r="G62" s="146">
        <v>0</v>
      </c>
      <c r="H62" s="556">
        <f t="shared" si="2"/>
        <v>0</v>
      </c>
      <c r="I62" s="146">
        <v>0</v>
      </c>
      <c r="J62" s="556">
        <v>0</v>
      </c>
      <c r="K62" s="556">
        <v>0</v>
      </c>
      <c r="L62" s="556">
        <f t="shared" si="3"/>
        <v>0</v>
      </c>
      <c r="M62" s="556">
        <v>0</v>
      </c>
      <c r="N62" s="556">
        <v>0</v>
      </c>
      <c r="O62" s="556">
        <v>0</v>
      </c>
      <c r="P62" s="556">
        <f t="shared" si="4"/>
        <v>0</v>
      </c>
    </row>
    <row r="63" spans="1:16" s="26" customFormat="1" x14ac:dyDescent="0.25">
      <c r="A63" s="588">
        <v>53</v>
      </c>
      <c r="B63" s="604" t="s">
        <v>146</v>
      </c>
      <c r="C63" s="30" t="s">
        <v>147</v>
      </c>
      <c r="D63" s="146">
        <v>0</v>
      </c>
      <c r="E63" s="146">
        <v>0</v>
      </c>
      <c r="F63" s="146">
        <v>0</v>
      </c>
      <c r="G63" s="146">
        <v>0</v>
      </c>
      <c r="H63" s="556">
        <f t="shared" si="2"/>
        <v>0</v>
      </c>
      <c r="I63" s="146">
        <v>0</v>
      </c>
      <c r="J63" s="556">
        <v>0</v>
      </c>
      <c r="K63" s="556">
        <v>0</v>
      </c>
      <c r="L63" s="556">
        <f t="shared" si="3"/>
        <v>0</v>
      </c>
      <c r="M63" s="556">
        <v>0</v>
      </c>
      <c r="N63" s="556">
        <v>0</v>
      </c>
      <c r="O63" s="556">
        <v>0</v>
      </c>
      <c r="P63" s="556">
        <f t="shared" si="4"/>
        <v>0</v>
      </c>
    </row>
    <row r="64" spans="1:16" s="26" customFormat="1" x14ac:dyDescent="0.25">
      <c r="A64" s="588">
        <v>54</v>
      </c>
      <c r="B64" s="604" t="s">
        <v>148</v>
      </c>
      <c r="C64" s="30" t="s">
        <v>149</v>
      </c>
      <c r="D64" s="146">
        <v>0</v>
      </c>
      <c r="E64" s="146">
        <v>0</v>
      </c>
      <c r="F64" s="146">
        <v>0</v>
      </c>
      <c r="G64" s="146">
        <v>0</v>
      </c>
      <c r="H64" s="556">
        <f t="shared" si="2"/>
        <v>0</v>
      </c>
      <c r="I64" s="146">
        <v>0</v>
      </c>
      <c r="J64" s="556">
        <v>0</v>
      </c>
      <c r="K64" s="556">
        <v>0</v>
      </c>
      <c r="L64" s="556">
        <f t="shared" si="3"/>
        <v>0</v>
      </c>
      <c r="M64" s="556">
        <v>0</v>
      </c>
      <c r="N64" s="556">
        <v>0</v>
      </c>
      <c r="O64" s="556">
        <v>0</v>
      </c>
      <c r="P64" s="556">
        <f t="shared" si="4"/>
        <v>0</v>
      </c>
    </row>
    <row r="65" spans="1:16" s="26" customFormat="1" x14ac:dyDescent="0.25">
      <c r="A65" s="588">
        <v>55</v>
      </c>
      <c r="B65" s="71" t="s">
        <v>150</v>
      </c>
      <c r="C65" s="30" t="s">
        <v>151</v>
      </c>
      <c r="D65" s="146">
        <v>0</v>
      </c>
      <c r="E65" s="146">
        <v>0</v>
      </c>
      <c r="F65" s="146">
        <v>0</v>
      </c>
      <c r="G65" s="146">
        <v>0</v>
      </c>
      <c r="H65" s="556">
        <f t="shared" si="2"/>
        <v>0</v>
      </c>
      <c r="I65" s="146">
        <v>0</v>
      </c>
      <c r="J65" s="556">
        <v>0</v>
      </c>
      <c r="K65" s="556">
        <v>0</v>
      </c>
      <c r="L65" s="556">
        <f t="shared" si="3"/>
        <v>0</v>
      </c>
      <c r="M65" s="556">
        <v>0</v>
      </c>
      <c r="N65" s="556">
        <v>0</v>
      </c>
      <c r="O65" s="556">
        <v>0</v>
      </c>
      <c r="P65" s="556">
        <f t="shared" si="4"/>
        <v>0</v>
      </c>
    </row>
    <row r="66" spans="1:16" s="26" customFormat="1" x14ac:dyDescent="0.25">
      <c r="A66" s="588">
        <v>56</v>
      </c>
      <c r="B66" s="71" t="s">
        <v>154</v>
      </c>
      <c r="C66" s="30" t="s">
        <v>155</v>
      </c>
      <c r="D66" s="146">
        <v>0</v>
      </c>
      <c r="E66" s="146">
        <v>0</v>
      </c>
      <c r="F66" s="146">
        <v>0</v>
      </c>
      <c r="G66" s="146">
        <v>0</v>
      </c>
      <c r="H66" s="556">
        <f t="shared" si="2"/>
        <v>0</v>
      </c>
      <c r="I66" s="146">
        <v>0</v>
      </c>
      <c r="J66" s="556">
        <v>0</v>
      </c>
      <c r="K66" s="556">
        <v>0</v>
      </c>
      <c r="L66" s="556">
        <f t="shared" si="3"/>
        <v>0</v>
      </c>
      <c r="M66" s="556">
        <v>0</v>
      </c>
      <c r="N66" s="556">
        <v>0</v>
      </c>
      <c r="O66" s="556">
        <v>0</v>
      </c>
      <c r="P66" s="556">
        <f t="shared" si="4"/>
        <v>0</v>
      </c>
    </row>
    <row r="67" spans="1:16" s="26" customFormat="1" ht="24" x14ac:dyDescent="0.25">
      <c r="A67" s="588">
        <v>57</v>
      </c>
      <c r="B67" s="70" t="s">
        <v>158</v>
      </c>
      <c r="C67" s="30" t="s">
        <v>159</v>
      </c>
      <c r="D67" s="146">
        <v>0</v>
      </c>
      <c r="E67" s="146">
        <v>0</v>
      </c>
      <c r="F67" s="146">
        <v>0</v>
      </c>
      <c r="G67" s="146">
        <v>0</v>
      </c>
      <c r="H67" s="556">
        <f t="shared" si="2"/>
        <v>0</v>
      </c>
      <c r="I67" s="146">
        <v>0</v>
      </c>
      <c r="J67" s="556">
        <v>0</v>
      </c>
      <c r="K67" s="556">
        <v>0</v>
      </c>
      <c r="L67" s="556">
        <f t="shared" si="3"/>
        <v>0</v>
      </c>
      <c r="M67" s="556">
        <v>0</v>
      </c>
      <c r="N67" s="556">
        <v>0</v>
      </c>
      <c r="O67" s="556">
        <v>0</v>
      </c>
      <c r="P67" s="556">
        <f t="shared" si="4"/>
        <v>0</v>
      </c>
    </row>
    <row r="68" spans="1:16" s="26" customFormat="1" ht="24" x14ac:dyDescent="0.25">
      <c r="A68" s="588">
        <v>58</v>
      </c>
      <c r="B68" s="70" t="s">
        <v>160</v>
      </c>
      <c r="C68" s="30" t="s">
        <v>161</v>
      </c>
      <c r="D68" s="146">
        <v>0</v>
      </c>
      <c r="E68" s="146">
        <v>0</v>
      </c>
      <c r="F68" s="146">
        <v>0</v>
      </c>
      <c r="G68" s="146">
        <v>0</v>
      </c>
      <c r="H68" s="556">
        <f t="shared" si="2"/>
        <v>0</v>
      </c>
      <c r="I68" s="146">
        <v>0</v>
      </c>
      <c r="J68" s="556">
        <v>0</v>
      </c>
      <c r="K68" s="556">
        <v>0</v>
      </c>
      <c r="L68" s="556">
        <f t="shared" si="3"/>
        <v>0</v>
      </c>
      <c r="M68" s="556">
        <v>0</v>
      </c>
      <c r="N68" s="556">
        <v>0</v>
      </c>
      <c r="O68" s="556">
        <v>0</v>
      </c>
      <c r="P68" s="556">
        <f t="shared" si="4"/>
        <v>0</v>
      </c>
    </row>
    <row r="69" spans="1:16" s="26" customFormat="1" x14ac:dyDescent="0.25">
      <c r="A69" s="588">
        <v>59</v>
      </c>
      <c r="B69" s="71" t="s">
        <v>162</v>
      </c>
      <c r="C69" s="30" t="s">
        <v>163</v>
      </c>
      <c r="D69" s="146">
        <v>0</v>
      </c>
      <c r="E69" s="146">
        <v>0</v>
      </c>
      <c r="F69" s="146">
        <v>0</v>
      </c>
      <c r="G69" s="146">
        <v>0</v>
      </c>
      <c r="H69" s="556">
        <f t="shared" si="2"/>
        <v>0</v>
      </c>
      <c r="I69" s="146">
        <v>0</v>
      </c>
      <c r="J69" s="556">
        <v>0</v>
      </c>
      <c r="K69" s="556">
        <v>0</v>
      </c>
      <c r="L69" s="556">
        <f t="shared" si="3"/>
        <v>0</v>
      </c>
      <c r="M69" s="556">
        <v>0</v>
      </c>
      <c r="N69" s="556">
        <v>0</v>
      </c>
      <c r="O69" s="556">
        <v>0</v>
      </c>
      <c r="P69" s="556">
        <f t="shared" si="4"/>
        <v>0</v>
      </c>
    </row>
    <row r="70" spans="1:16" s="26" customFormat="1" x14ac:dyDescent="0.25">
      <c r="A70" s="588">
        <v>60</v>
      </c>
      <c r="B70" s="71" t="s">
        <v>164</v>
      </c>
      <c r="C70" s="30" t="s">
        <v>165</v>
      </c>
      <c r="D70" s="146">
        <v>0</v>
      </c>
      <c r="E70" s="146">
        <v>1694</v>
      </c>
      <c r="F70" s="146">
        <v>0</v>
      </c>
      <c r="G70" s="146">
        <v>0</v>
      </c>
      <c r="H70" s="556">
        <f t="shared" si="2"/>
        <v>1694</v>
      </c>
      <c r="I70" s="146">
        <v>0</v>
      </c>
      <c r="J70" s="556">
        <v>0</v>
      </c>
      <c r="K70" s="556">
        <v>0</v>
      </c>
      <c r="L70" s="556">
        <f t="shared" si="3"/>
        <v>0</v>
      </c>
      <c r="M70" s="556">
        <v>0</v>
      </c>
      <c r="N70" s="556">
        <v>0</v>
      </c>
      <c r="O70" s="556">
        <v>0</v>
      </c>
      <c r="P70" s="556">
        <f t="shared" si="4"/>
        <v>0</v>
      </c>
    </row>
    <row r="71" spans="1:16" s="26" customFormat="1" x14ac:dyDescent="0.25">
      <c r="A71" s="588">
        <v>61</v>
      </c>
      <c r="B71" s="71" t="s">
        <v>166</v>
      </c>
      <c r="C71" s="30" t="s">
        <v>167</v>
      </c>
      <c r="D71" s="146">
        <v>0</v>
      </c>
      <c r="E71" s="146">
        <v>0</v>
      </c>
      <c r="F71" s="146">
        <v>0</v>
      </c>
      <c r="G71" s="146">
        <v>0</v>
      </c>
      <c r="H71" s="556">
        <f t="shared" si="2"/>
        <v>0</v>
      </c>
      <c r="I71" s="146">
        <v>0</v>
      </c>
      <c r="J71" s="556">
        <v>0</v>
      </c>
      <c r="K71" s="556">
        <v>0</v>
      </c>
      <c r="L71" s="556">
        <f t="shared" si="3"/>
        <v>0</v>
      </c>
      <c r="M71" s="556">
        <v>0</v>
      </c>
      <c r="N71" s="556">
        <v>0</v>
      </c>
      <c r="O71" s="556">
        <v>0</v>
      </c>
      <c r="P71" s="556">
        <f t="shared" si="4"/>
        <v>0</v>
      </c>
    </row>
    <row r="72" spans="1:16" s="26" customFormat="1" ht="22.5" customHeight="1" x14ac:dyDescent="0.25">
      <c r="A72" s="1132">
        <v>62</v>
      </c>
      <c r="B72" s="70" t="s">
        <v>170</v>
      </c>
      <c r="C72" s="144" t="s">
        <v>785</v>
      </c>
      <c r="D72" s="146">
        <v>0</v>
      </c>
      <c r="E72" s="146">
        <v>0</v>
      </c>
      <c r="F72" s="146">
        <v>0</v>
      </c>
      <c r="G72" s="146">
        <v>0</v>
      </c>
      <c r="H72" s="556">
        <f t="shared" ref="H72:H137" si="5">D72+E72+F72+G72</f>
        <v>0</v>
      </c>
      <c r="I72" s="146">
        <v>0</v>
      </c>
      <c r="J72" s="556">
        <v>0</v>
      </c>
      <c r="K72" s="556">
        <v>0</v>
      </c>
      <c r="L72" s="556">
        <f t="shared" ref="L72:L138" si="6">I72+J72+K72</f>
        <v>0</v>
      </c>
      <c r="M72" s="556">
        <v>0</v>
      </c>
      <c r="N72" s="556">
        <v>0</v>
      </c>
      <c r="O72" s="556">
        <v>0</v>
      </c>
      <c r="P72" s="556">
        <f t="shared" ref="P72:P138" si="7">N72+O72</f>
        <v>0</v>
      </c>
    </row>
    <row r="73" spans="1:16" s="26" customFormat="1" x14ac:dyDescent="0.25">
      <c r="A73" s="1133"/>
      <c r="B73" s="71" t="s">
        <v>168</v>
      </c>
      <c r="C73" s="30" t="s">
        <v>169</v>
      </c>
      <c r="D73" s="146">
        <v>0</v>
      </c>
      <c r="E73" s="146">
        <v>0</v>
      </c>
      <c r="F73" s="146">
        <v>0</v>
      </c>
      <c r="G73" s="146">
        <v>0</v>
      </c>
      <c r="H73" s="556"/>
      <c r="I73" s="146">
        <v>0</v>
      </c>
      <c r="J73" s="556"/>
      <c r="K73" s="556"/>
      <c r="L73" s="556"/>
      <c r="M73" s="556"/>
      <c r="N73" s="556"/>
      <c r="O73" s="556"/>
      <c r="P73" s="556"/>
    </row>
    <row r="74" spans="1:16" s="26" customFormat="1" x14ac:dyDescent="0.25">
      <c r="A74" s="1134"/>
      <c r="B74" s="71" t="s">
        <v>174</v>
      </c>
      <c r="C74" s="30" t="s">
        <v>175</v>
      </c>
      <c r="D74" s="146">
        <v>0</v>
      </c>
      <c r="E74" s="146">
        <v>0</v>
      </c>
      <c r="F74" s="146">
        <v>0</v>
      </c>
      <c r="G74" s="146">
        <v>0</v>
      </c>
      <c r="H74" s="556"/>
      <c r="I74" s="146">
        <v>0</v>
      </c>
      <c r="J74" s="556"/>
      <c r="K74" s="556"/>
      <c r="L74" s="556"/>
      <c r="M74" s="556"/>
      <c r="N74" s="556"/>
      <c r="O74" s="556"/>
      <c r="P74" s="556"/>
    </row>
    <row r="75" spans="1:16" s="26" customFormat="1" ht="24.75" customHeight="1" x14ac:dyDescent="0.25">
      <c r="A75" s="1132">
        <v>63</v>
      </c>
      <c r="B75" s="70" t="s">
        <v>176</v>
      </c>
      <c r="C75" s="144" t="s">
        <v>788</v>
      </c>
      <c r="D75" s="146">
        <v>0</v>
      </c>
      <c r="E75" s="146">
        <v>0</v>
      </c>
      <c r="F75" s="146">
        <v>0</v>
      </c>
      <c r="G75" s="146">
        <v>0</v>
      </c>
      <c r="H75" s="556">
        <f t="shared" si="5"/>
        <v>0</v>
      </c>
      <c r="I75" s="146">
        <v>0</v>
      </c>
      <c r="J75" s="556">
        <v>0</v>
      </c>
      <c r="K75" s="556">
        <v>0</v>
      </c>
      <c r="L75" s="556">
        <f t="shared" si="6"/>
        <v>0</v>
      </c>
      <c r="M75" s="556">
        <v>0</v>
      </c>
      <c r="N75" s="556">
        <v>0</v>
      </c>
      <c r="O75" s="556">
        <v>0</v>
      </c>
      <c r="P75" s="556">
        <f t="shared" si="7"/>
        <v>0</v>
      </c>
    </row>
    <row r="76" spans="1:16" s="26" customFormat="1" x14ac:dyDescent="0.25">
      <c r="A76" s="1133"/>
      <c r="B76" s="71" t="s">
        <v>172</v>
      </c>
      <c r="C76" s="30" t="s">
        <v>173</v>
      </c>
      <c r="D76" s="146">
        <v>0</v>
      </c>
      <c r="E76" s="146">
        <v>0</v>
      </c>
      <c r="F76" s="146">
        <v>0</v>
      </c>
      <c r="G76" s="146">
        <v>0</v>
      </c>
      <c r="H76" s="556"/>
      <c r="I76" s="146">
        <v>0</v>
      </c>
      <c r="J76" s="556"/>
      <c r="K76" s="556"/>
      <c r="L76" s="556"/>
      <c r="M76" s="556"/>
      <c r="N76" s="556"/>
      <c r="O76" s="556"/>
      <c r="P76" s="556"/>
    </row>
    <row r="77" spans="1:16" s="26" customFormat="1" x14ac:dyDescent="0.25">
      <c r="A77" s="1133"/>
      <c r="B77" s="70" t="s">
        <v>178</v>
      </c>
      <c r="C77" s="30" t="s">
        <v>179</v>
      </c>
      <c r="D77" s="146">
        <v>0</v>
      </c>
      <c r="E77" s="146">
        <v>0</v>
      </c>
      <c r="F77" s="146">
        <v>0</v>
      </c>
      <c r="G77" s="146">
        <v>0</v>
      </c>
      <c r="H77" s="556">
        <f t="shared" si="5"/>
        <v>0</v>
      </c>
      <c r="I77" s="146">
        <v>0</v>
      </c>
      <c r="J77" s="556">
        <v>0</v>
      </c>
      <c r="K77" s="556">
        <v>0</v>
      </c>
      <c r="L77" s="556">
        <f t="shared" si="6"/>
        <v>0</v>
      </c>
      <c r="M77" s="556">
        <v>0</v>
      </c>
      <c r="N77" s="556">
        <v>0</v>
      </c>
      <c r="O77" s="556">
        <v>0</v>
      </c>
      <c r="P77" s="556">
        <f t="shared" si="7"/>
        <v>0</v>
      </c>
    </row>
    <row r="78" spans="1:16" s="26" customFormat="1" x14ac:dyDescent="0.25">
      <c r="A78" s="1134"/>
      <c r="B78" s="70" t="s">
        <v>180</v>
      </c>
      <c r="C78" s="30" t="s">
        <v>181</v>
      </c>
      <c r="D78" s="146">
        <v>0</v>
      </c>
      <c r="E78" s="146">
        <v>0</v>
      </c>
      <c r="F78" s="146">
        <v>0</v>
      </c>
      <c r="G78" s="146">
        <v>0</v>
      </c>
      <c r="H78" s="556">
        <f t="shared" si="5"/>
        <v>0</v>
      </c>
      <c r="I78" s="146">
        <v>0</v>
      </c>
      <c r="J78" s="556">
        <v>0</v>
      </c>
      <c r="K78" s="556">
        <v>0</v>
      </c>
      <c r="L78" s="556">
        <f t="shared" si="6"/>
        <v>0</v>
      </c>
      <c r="M78" s="556">
        <v>0</v>
      </c>
      <c r="N78" s="556">
        <v>0</v>
      </c>
      <c r="O78" s="556">
        <v>0</v>
      </c>
      <c r="P78" s="556">
        <f t="shared" si="7"/>
        <v>0</v>
      </c>
    </row>
    <row r="79" spans="1:16" s="26" customFormat="1" x14ac:dyDescent="0.25">
      <c r="A79" s="588">
        <v>64</v>
      </c>
      <c r="B79" s="604" t="s">
        <v>182</v>
      </c>
      <c r="C79" s="30" t="s">
        <v>183</v>
      </c>
      <c r="D79" s="146">
        <v>0</v>
      </c>
      <c r="E79" s="146">
        <v>2272</v>
      </c>
      <c r="F79" s="146">
        <v>41</v>
      </c>
      <c r="G79" s="146">
        <v>0</v>
      </c>
      <c r="H79" s="556">
        <f t="shared" si="5"/>
        <v>2313</v>
      </c>
      <c r="I79" s="146">
        <v>0</v>
      </c>
      <c r="J79" s="556">
        <v>0</v>
      </c>
      <c r="K79" s="556">
        <v>0</v>
      </c>
      <c r="L79" s="556">
        <f t="shared" si="6"/>
        <v>0</v>
      </c>
      <c r="M79" s="556">
        <v>0</v>
      </c>
      <c r="N79" s="556">
        <v>0</v>
      </c>
      <c r="O79" s="556">
        <v>0</v>
      </c>
      <c r="P79" s="556">
        <f t="shared" si="7"/>
        <v>0</v>
      </c>
    </row>
    <row r="80" spans="1:16" s="26" customFormat="1" x14ac:dyDescent="0.25">
      <c r="A80" s="588">
        <v>65</v>
      </c>
      <c r="B80" s="70" t="s">
        <v>184</v>
      </c>
      <c r="C80" s="30" t="s">
        <v>185</v>
      </c>
      <c r="D80" s="146">
        <v>0</v>
      </c>
      <c r="E80" s="146">
        <v>5476</v>
      </c>
      <c r="F80" s="146">
        <v>116</v>
      </c>
      <c r="G80" s="146">
        <v>1225</v>
      </c>
      <c r="H80" s="556">
        <f t="shared" si="5"/>
        <v>6817</v>
      </c>
      <c r="I80" s="146">
        <v>0</v>
      </c>
      <c r="J80" s="556">
        <v>0</v>
      </c>
      <c r="K80" s="556">
        <v>0</v>
      </c>
      <c r="L80" s="556">
        <f t="shared" si="6"/>
        <v>0</v>
      </c>
      <c r="M80" s="556">
        <v>0</v>
      </c>
      <c r="N80" s="556">
        <v>0</v>
      </c>
      <c r="O80" s="556">
        <v>0</v>
      </c>
      <c r="P80" s="556">
        <f t="shared" si="7"/>
        <v>0</v>
      </c>
    </row>
    <row r="81" spans="1:16" s="26" customFormat="1" x14ac:dyDescent="0.25">
      <c r="A81" s="588">
        <v>66</v>
      </c>
      <c r="B81" s="604" t="s">
        <v>186</v>
      </c>
      <c r="C81" s="30" t="s">
        <v>187</v>
      </c>
      <c r="D81" s="146">
        <v>7137</v>
      </c>
      <c r="E81" s="146">
        <v>2977</v>
      </c>
      <c r="F81" s="146">
        <v>54</v>
      </c>
      <c r="G81" s="146">
        <v>485</v>
      </c>
      <c r="H81" s="556">
        <f t="shared" si="5"/>
        <v>10653</v>
      </c>
      <c r="I81" s="146">
        <v>0</v>
      </c>
      <c r="J81" s="556">
        <v>0</v>
      </c>
      <c r="K81" s="556">
        <v>0</v>
      </c>
      <c r="L81" s="556">
        <f t="shared" si="6"/>
        <v>0</v>
      </c>
      <c r="M81" s="556">
        <v>0</v>
      </c>
      <c r="N81" s="556">
        <v>0</v>
      </c>
      <c r="O81" s="556">
        <v>0</v>
      </c>
      <c r="P81" s="556">
        <f t="shared" si="7"/>
        <v>0</v>
      </c>
    </row>
    <row r="82" spans="1:16" s="26" customFormat="1" ht="24" x14ac:dyDescent="0.25">
      <c r="A82" s="1132">
        <v>67</v>
      </c>
      <c r="B82" s="70" t="s">
        <v>188</v>
      </c>
      <c r="C82" s="144" t="s">
        <v>787</v>
      </c>
      <c r="D82" s="146">
        <v>0</v>
      </c>
      <c r="E82" s="146">
        <v>2020</v>
      </c>
      <c r="F82" s="146">
        <v>0</v>
      </c>
      <c r="G82" s="146">
        <v>0</v>
      </c>
      <c r="H82" s="556">
        <f t="shared" si="5"/>
        <v>2020</v>
      </c>
      <c r="I82" s="146">
        <v>0</v>
      </c>
      <c r="J82" s="556">
        <v>0</v>
      </c>
      <c r="K82" s="556">
        <v>0</v>
      </c>
      <c r="L82" s="556">
        <f t="shared" si="6"/>
        <v>0</v>
      </c>
      <c r="M82" s="556">
        <v>0</v>
      </c>
      <c r="N82" s="556">
        <v>0</v>
      </c>
      <c r="O82" s="556">
        <v>0</v>
      </c>
      <c r="P82" s="556">
        <f t="shared" si="7"/>
        <v>0</v>
      </c>
    </row>
    <row r="83" spans="1:16" s="26" customFormat="1" x14ac:dyDescent="0.25">
      <c r="A83" s="1134"/>
      <c r="B83" s="604" t="s">
        <v>156</v>
      </c>
      <c r="C83" s="30" t="s">
        <v>157</v>
      </c>
      <c r="D83" s="146">
        <v>0</v>
      </c>
      <c r="E83" s="146">
        <v>0</v>
      </c>
      <c r="F83" s="146">
        <v>0</v>
      </c>
      <c r="G83" s="146">
        <v>0</v>
      </c>
      <c r="H83" s="556"/>
      <c r="I83" s="146">
        <v>0</v>
      </c>
      <c r="J83" s="556"/>
      <c r="K83" s="556"/>
      <c r="L83" s="556"/>
      <c r="M83" s="556"/>
      <c r="N83" s="556"/>
      <c r="O83" s="556"/>
      <c r="P83" s="556"/>
    </row>
    <row r="84" spans="1:16" s="26" customFormat="1" x14ac:dyDescent="0.25">
      <c r="A84" s="588">
        <v>68</v>
      </c>
      <c r="B84" s="70" t="s">
        <v>190</v>
      </c>
      <c r="C84" s="30" t="s">
        <v>191</v>
      </c>
      <c r="D84" s="146">
        <v>0</v>
      </c>
      <c r="E84" s="146">
        <v>7968</v>
      </c>
      <c r="F84" s="146">
        <v>146</v>
      </c>
      <c r="G84" s="146">
        <v>1299</v>
      </c>
      <c r="H84" s="556">
        <f t="shared" si="5"/>
        <v>9413</v>
      </c>
      <c r="I84" s="146">
        <v>0</v>
      </c>
      <c r="J84" s="556">
        <v>0</v>
      </c>
      <c r="K84" s="556">
        <v>0</v>
      </c>
      <c r="L84" s="556">
        <f t="shared" si="6"/>
        <v>0</v>
      </c>
      <c r="M84" s="556">
        <v>0</v>
      </c>
      <c r="N84" s="556">
        <v>0</v>
      </c>
      <c r="O84" s="556">
        <v>0</v>
      </c>
      <c r="P84" s="556">
        <f t="shared" si="7"/>
        <v>0</v>
      </c>
    </row>
    <row r="85" spans="1:16" s="26" customFormat="1" ht="24" x14ac:dyDescent="0.25">
      <c r="A85" s="1132">
        <v>69</v>
      </c>
      <c r="B85" s="70" t="s">
        <v>192</v>
      </c>
      <c r="C85" s="144" t="s">
        <v>786</v>
      </c>
      <c r="D85" s="146">
        <v>0</v>
      </c>
      <c r="E85" s="146">
        <v>4197</v>
      </c>
      <c r="F85" s="146">
        <v>0</v>
      </c>
      <c r="G85" s="146">
        <v>0</v>
      </c>
      <c r="H85" s="556">
        <f t="shared" si="5"/>
        <v>4197</v>
      </c>
      <c r="I85" s="146">
        <v>2609</v>
      </c>
      <c r="J85" s="556">
        <v>0</v>
      </c>
      <c r="K85" s="556">
        <v>0</v>
      </c>
      <c r="L85" s="556">
        <f t="shared" si="6"/>
        <v>2609</v>
      </c>
      <c r="M85" s="556">
        <v>0</v>
      </c>
      <c r="N85" s="556">
        <v>0</v>
      </c>
      <c r="O85" s="556">
        <v>0</v>
      </c>
      <c r="P85" s="556">
        <f t="shared" si="7"/>
        <v>0</v>
      </c>
    </row>
    <row r="86" spans="1:16" s="26" customFormat="1" x14ac:dyDescent="0.25">
      <c r="A86" s="1134"/>
      <c r="B86" s="70" t="s">
        <v>152</v>
      </c>
      <c r="C86" s="30" t="s">
        <v>548</v>
      </c>
      <c r="D86" s="146">
        <v>0</v>
      </c>
      <c r="E86" s="146">
        <v>0</v>
      </c>
      <c r="F86" s="146">
        <v>0</v>
      </c>
      <c r="G86" s="146">
        <v>0</v>
      </c>
      <c r="H86" s="556"/>
      <c r="I86" s="146">
        <v>0</v>
      </c>
      <c r="J86" s="556"/>
      <c r="K86" s="556"/>
      <c r="L86" s="556"/>
      <c r="M86" s="556"/>
      <c r="N86" s="556"/>
      <c r="O86" s="556"/>
      <c r="P86" s="556"/>
    </row>
    <row r="87" spans="1:16" s="26" customFormat="1" x14ac:dyDescent="0.25">
      <c r="A87" s="588">
        <v>70</v>
      </c>
      <c r="B87" s="70" t="s">
        <v>194</v>
      </c>
      <c r="C87" s="30" t="s">
        <v>195</v>
      </c>
      <c r="D87" s="146">
        <v>0</v>
      </c>
      <c r="E87" s="146">
        <v>4058</v>
      </c>
      <c r="F87" s="146">
        <v>74</v>
      </c>
      <c r="G87" s="146">
        <v>661</v>
      </c>
      <c r="H87" s="556">
        <f t="shared" si="5"/>
        <v>4793</v>
      </c>
      <c r="I87" s="146">
        <v>0</v>
      </c>
      <c r="J87" s="556">
        <v>0</v>
      </c>
      <c r="K87" s="556">
        <v>0</v>
      </c>
      <c r="L87" s="556">
        <f t="shared" si="6"/>
        <v>0</v>
      </c>
      <c r="M87" s="556">
        <v>0</v>
      </c>
      <c r="N87" s="556">
        <v>0</v>
      </c>
      <c r="O87" s="556">
        <v>0</v>
      </c>
      <c r="P87" s="556">
        <f t="shared" si="7"/>
        <v>0</v>
      </c>
    </row>
    <row r="88" spans="1:16" s="26" customFormat="1" x14ac:dyDescent="0.25">
      <c r="A88" s="588">
        <v>71</v>
      </c>
      <c r="B88" s="70" t="s">
        <v>196</v>
      </c>
      <c r="C88" s="30" t="s">
        <v>197</v>
      </c>
      <c r="D88" s="146">
        <v>0</v>
      </c>
      <c r="E88" s="146">
        <v>0</v>
      </c>
      <c r="F88" s="146">
        <v>0</v>
      </c>
      <c r="G88" s="146">
        <v>0</v>
      </c>
      <c r="H88" s="556">
        <f t="shared" si="5"/>
        <v>0</v>
      </c>
      <c r="I88" s="146">
        <v>0</v>
      </c>
      <c r="J88" s="556">
        <v>0</v>
      </c>
      <c r="K88" s="556">
        <v>0</v>
      </c>
      <c r="L88" s="556">
        <f t="shared" si="6"/>
        <v>0</v>
      </c>
      <c r="M88" s="556">
        <v>0</v>
      </c>
      <c r="N88" s="556">
        <v>0</v>
      </c>
      <c r="O88" s="556">
        <v>0</v>
      </c>
      <c r="P88" s="556">
        <f t="shared" si="7"/>
        <v>0</v>
      </c>
    </row>
    <row r="89" spans="1:16" s="26" customFormat="1" x14ac:dyDescent="0.25">
      <c r="A89" s="588">
        <v>72</v>
      </c>
      <c r="B89" s="71" t="s">
        <v>30</v>
      </c>
      <c r="C89" s="30" t="s">
        <v>198</v>
      </c>
      <c r="D89" s="146">
        <v>0</v>
      </c>
      <c r="E89" s="146">
        <v>0</v>
      </c>
      <c r="F89" s="146">
        <v>0</v>
      </c>
      <c r="G89" s="146">
        <v>0</v>
      </c>
      <c r="H89" s="556">
        <f t="shared" si="5"/>
        <v>0</v>
      </c>
      <c r="I89" s="146">
        <v>0</v>
      </c>
      <c r="J89" s="556">
        <v>0</v>
      </c>
      <c r="K89" s="556">
        <v>0</v>
      </c>
      <c r="L89" s="556">
        <f t="shared" si="6"/>
        <v>0</v>
      </c>
      <c r="M89" s="556">
        <v>0</v>
      </c>
      <c r="N89" s="556">
        <v>0</v>
      </c>
      <c r="O89" s="556">
        <v>0</v>
      </c>
      <c r="P89" s="556">
        <f t="shared" si="7"/>
        <v>0</v>
      </c>
    </row>
    <row r="90" spans="1:16" s="26" customFormat="1" ht="24" x14ac:dyDescent="0.25">
      <c r="A90" s="1132">
        <v>73</v>
      </c>
      <c r="B90" s="1135" t="s">
        <v>199</v>
      </c>
      <c r="C90" s="144" t="s">
        <v>789</v>
      </c>
      <c r="D90" s="146">
        <v>0</v>
      </c>
      <c r="E90" s="146">
        <v>219</v>
      </c>
      <c r="F90" s="146">
        <v>0</v>
      </c>
      <c r="G90" s="146">
        <v>36</v>
      </c>
      <c r="H90" s="556">
        <f t="shared" si="5"/>
        <v>255</v>
      </c>
      <c r="I90" s="146">
        <v>109</v>
      </c>
      <c r="J90" s="556">
        <v>10</v>
      </c>
      <c r="K90" s="556">
        <v>0</v>
      </c>
      <c r="L90" s="556">
        <f t="shared" si="6"/>
        <v>119</v>
      </c>
      <c r="M90" s="556">
        <v>0</v>
      </c>
      <c r="N90" s="556">
        <v>0</v>
      </c>
      <c r="O90" s="556">
        <v>0</v>
      </c>
      <c r="P90" s="556">
        <f t="shared" si="7"/>
        <v>0</v>
      </c>
    </row>
    <row r="91" spans="1:16" s="26" customFormat="1" ht="36" x14ac:dyDescent="0.25">
      <c r="A91" s="1133"/>
      <c r="B91" s="1136"/>
      <c r="C91" s="30" t="s">
        <v>201</v>
      </c>
      <c r="D91" s="146">
        <v>0</v>
      </c>
      <c r="E91" s="146">
        <v>219</v>
      </c>
      <c r="F91" s="146">
        <v>0</v>
      </c>
      <c r="G91" s="146">
        <v>36</v>
      </c>
      <c r="H91" s="556">
        <f t="shared" si="5"/>
        <v>255</v>
      </c>
      <c r="I91" s="146">
        <v>109</v>
      </c>
      <c r="J91" s="556">
        <v>10</v>
      </c>
      <c r="K91" s="556">
        <v>0</v>
      </c>
      <c r="L91" s="556">
        <f t="shared" si="6"/>
        <v>119</v>
      </c>
      <c r="M91" s="556">
        <v>0</v>
      </c>
      <c r="N91" s="556">
        <v>0</v>
      </c>
      <c r="O91" s="556">
        <v>0</v>
      </c>
      <c r="P91" s="556">
        <f t="shared" si="7"/>
        <v>0</v>
      </c>
    </row>
    <row r="92" spans="1:16" s="26" customFormat="1" x14ac:dyDescent="0.25">
      <c r="A92" s="1133"/>
      <c r="B92" s="1136"/>
      <c r="C92" s="30" t="s">
        <v>202</v>
      </c>
      <c r="D92" s="146">
        <v>0</v>
      </c>
      <c r="E92" s="146">
        <v>0</v>
      </c>
      <c r="F92" s="146">
        <v>0</v>
      </c>
      <c r="G92" s="146">
        <v>0</v>
      </c>
      <c r="H92" s="556">
        <f t="shared" si="5"/>
        <v>0</v>
      </c>
      <c r="I92" s="146">
        <v>0</v>
      </c>
      <c r="J92" s="556">
        <v>0</v>
      </c>
      <c r="K92" s="556">
        <v>0</v>
      </c>
      <c r="L92" s="556">
        <f t="shared" si="6"/>
        <v>0</v>
      </c>
      <c r="M92" s="556">
        <v>0</v>
      </c>
      <c r="N92" s="556">
        <v>0</v>
      </c>
      <c r="O92" s="556">
        <v>0</v>
      </c>
      <c r="P92" s="556">
        <f t="shared" si="7"/>
        <v>0</v>
      </c>
    </row>
    <row r="93" spans="1:16" s="26" customFormat="1" ht="24" x14ac:dyDescent="0.25">
      <c r="A93" s="1134"/>
      <c r="B93" s="1137"/>
      <c r="C93" s="118" t="s">
        <v>203</v>
      </c>
      <c r="D93" s="146">
        <v>0</v>
      </c>
      <c r="E93" s="146">
        <v>0</v>
      </c>
      <c r="F93" s="146">
        <v>0</v>
      </c>
      <c r="G93" s="146">
        <v>0</v>
      </c>
      <c r="H93" s="556">
        <f t="shared" si="5"/>
        <v>0</v>
      </c>
      <c r="I93" s="146">
        <v>0</v>
      </c>
      <c r="J93" s="556">
        <v>0</v>
      </c>
      <c r="K93" s="556">
        <v>0</v>
      </c>
      <c r="L93" s="556">
        <f t="shared" si="6"/>
        <v>0</v>
      </c>
      <c r="M93" s="556">
        <v>0</v>
      </c>
      <c r="N93" s="556">
        <v>0</v>
      </c>
      <c r="O93" s="556">
        <v>0</v>
      </c>
      <c r="P93" s="556">
        <f t="shared" si="7"/>
        <v>0</v>
      </c>
    </row>
    <row r="94" spans="1:16" s="26" customFormat="1" ht="12.75" customHeight="1" x14ac:dyDescent="0.25">
      <c r="A94" s="588">
        <v>74</v>
      </c>
      <c r="B94" s="71" t="s">
        <v>204</v>
      </c>
      <c r="C94" s="30" t="s">
        <v>205</v>
      </c>
      <c r="D94" s="146">
        <v>0</v>
      </c>
      <c r="E94" s="146">
        <v>0</v>
      </c>
      <c r="F94" s="146">
        <v>0</v>
      </c>
      <c r="G94" s="146">
        <v>0</v>
      </c>
      <c r="H94" s="556">
        <f t="shared" si="5"/>
        <v>0</v>
      </c>
      <c r="I94" s="146">
        <v>0</v>
      </c>
      <c r="J94" s="556">
        <v>0</v>
      </c>
      <c r="K94" s="556">
        <v>0</v>
      </c>
      <c r="L94" s="556">
        <f t="shared" si="6"/>
        <v>0</v>
      </c>
      <c r="M94" s="556">
        <v>0</v>
      </c>
      <c r="N94" s="556">
        <v>0</v>
      </c>
      <c r="O94" s="556">
        <v>0</v>
      </c>
      <c r="P94" s="556">
        <f t="shared" si="7"/>
        <v>0</v>
      </c>
    </row>
    <row r="95" spans="1:16" s="26" customFormat="1" x14ac:dyDescent="0.25">
      <c r="A95" s="588">
        <v>75</v>
      </c>
      <c r="B95" s="71" t="s">
        <v>206</v>
      </c>
      <c r="C95" s="30" t="s">
        <v>207</v>
      </c>
      <c r="D95" s="146">
        <v>0</v>
      </c>
      <c r="E95" s="146">
        <v>0</v>
      </c>
      <c r="F95" s="146">
        <v>0</v>
      </c>
      <c r="G95" s="146">
        <v>0</v>
      </c>
      <c r="H95" s="556">
        <f t="shared" si="5"/>
        <v>0</v>
      </c>
      <c r="I95" s="146">
        <v>0</v>
      </c>
      <c r="J95" s="556">
        <v>0</v>
      </c>
      <c r="K95" s="556">
        <v>0</v>
      </c>
      <c r="L95" s="556">
        <f t="shared" si="6"/>
        <v>0</v>
      </c>
      <c r="M95" s="556">
        <v>0</v>
      </c>
      <c r="N95" s="556">
        <v>0</v>
      </c>
      <c r="O95" s="556">
        <v>0</v>
      </c>
      <c r="P95" s="556">
        <f t="shared" si="7"/>
        <v>0</v>
      </c>
    </row>
    <row r="96" spans="1:16" s="26" customFormat="1" x14ac:dyDescent="0.25">
      <c r="A96" s="588">
        <v>76</v>
      </c>
      <c r="B96" s="604" t="s">
        <v>208</v>
      </c>
      <c r="C96" s="30" t="s">
        <v>209</v>
      </c>
      <c r="D96" s="146">
        <v>0</v>
      </c>
      <c r="E96" s="146">
        <v>2671</v>
      </c>
      <c r="F96" s="146">
        <v>48</v>
      </c>
      <c r="G96" s="146">
        <v>0</v>
      </c>
      <c r="H96" s="556">
        <f t="shared" si="5"/>
        <v>2719</v>
      </c>
      <c r="I96" s="146">
        <v>0</v>
      </c>
      <c r="J96" s="556">
        <v>0</v>
      </c>
      <c r="K96" s="556">
        <v>0</v>
      </c>
      <c r="L96" s="556">
        <f t="shared" si="6"/>
        <v>0</v>
      </c>
      <c r="M96" s="556">
        <v>0</v>
      </c>
      <c r="N96" s="556">
        <v>0</v>
      </c>
      <c r="O96" s="556">
        <v>0</v>
      </c>
      <c r="P96" s="556">
        <f t="shared" si="7"/>
        <v>0</v>
      </c>
    </row>
    <row r="97" spans="1:16" s="26" customFormat="1" x14ac:dyDescent="0.25">
      <c r="A97" s="588">
        <v>77</v>
      </c>
      <c r="B97" s="71" t="s">
        <v>210</v>
      </c>
      <c r="C97" s="30" t="s">
        <v>211</v>
      </c>
      <c r="D97" s="146">
        <v>0</v>
      </c>
      <c r="E97" s="146">
        <v>0</v>
      </c>
      <c r="F97" s="146">
        <v>0</v>
      </c>
      <c r="G97" s="146">
        <v>0</v>
      </c>
      <c r="H97" s="556">
        <f t="shared" si="5"/>
        <v>0</v>
      </c>
      <c r="I97" s="146">
        <v>0</v>
      </c>
      <c r="J97" s="556">
        <v>0</v>
      </c>
      <c r="K97" s="556">
        <v>0</v>
      </c>
      <c r="L97" s="556">
        <f t="shared" si="6"/>
        <v>0</v>
      </c>
      <c r="M97" s="556">
        <v>0</v>
      </c>
      <c r="N97" s="556">
        <v>0</v>
      </c>
      <c r="O97" s="556">
        <v>0</v>
      </c>
      <c r="P97" s="556">
        <f t="shared" si="7"/>
        <v>0</v>
      </c>
    </row>
    <row r="98" spans="1:16" s="26" customFormat="1" x14ac:dyDescent="0.25">
      <c r="A98" s="588">
        <v>78</v>
      </c>
      <c r="B98" s="604" t="s">
        <v>212</v>
      </c>
      <c r="C98" s="30" t="s">
        <v>213</v>
      </c>
      <c r="D98" s="146">
        <v>0</v>
      </c>
      <c r="E98" s="146">
        <v>0</v>
      </c>
      <c r="F98" s="146">
        <v>0</v>
      </c>
      <c r="G98" s="146">
        <v>0</v>
      </c>
      <c r="H98" s="556">
        <f t="shared" si="5"/>
        <v>0</v>
      </c>
      <c r="I98" s="146">
        <v>0</v>
      </c>
      <c r="J98" s="556">
        <v>0</v>
      </c>
      <c r="K98" s="556">
        <v>0</v>
      </c>
      <c r="L98" s="556">
        <f t="shared" si="6"/>
        <v>0</v>
      </c>
      <c r="M98" s="556">
        <v>0</v>
      </c>
      <c r="N98" s="556">
        <v>0</v>
      </c>
      <c r="O98" s="556">
        <v>0</v>
      </c>
      <c r="P98" s="556">
        <f t="shared" si="7"/>
        <v>0</v>
      </c>
    </row>
    <row r="99" spans="1:16" s="26" customFormat="1" x14ac:dyDescent="0.25">
      <c r="A99" s="588">
        <v>79</v>
      </c>
      <c r="B99" s="604" t="s">
        <v>214</v>
      </c>
      <c r="C99" s="30" t="s">
        <v>215</v>
      </c>
      <c r="D99" s="146">
        <v>0</v>
      </c>
      <c r="E99" s="146">
        <v>1240</v>
      </c>
      <c r="F99" s="146">
        <v>22</v>
      </c>
      <c r="G99" s="146">
        <v>0</v>
      </c>
      <c r="H99" s="556">
        <f t="shared" si="5"/>
        <v>1262</v>
      </c>
      <c r="I99" s="146">
        <v>0</v>
      </c>
      <c r="J99" s="556">
        <v>0</v>
      </c>
      <c r="K99" s="556">
        <v>0</v>
      </c>
      <c r="L99" s="556">
        <f t="shared" si="6"/>
        <v>0</v>
      </c>
      <c r="M99" s="556">
        <v>0</v>
      </c>
      <c r="N99" s="556">
        <v>0</v>
      </c>
      <c r="O99" s="556">
        <v>0</v>
      </c>
      <c r="P99" s="556">
        <f t="shared" si="7"/>
        <v>0</v>
      </c>
    </row>
    <row r="100" spans="1:16" s="26" customFormat="1" x14ac:dyDescent="0.25">
      <c r="A100" s="588">
        <v>80</v>
      </c>
      <c r="B100" s="71" t="s">
        <v>216</v>
      </c>
      <c r="C100" s="30" t="s">
        <v>217</v>
      </c>
      <c r="D100" s="146">
        <v>0</v>
      </c>
      <c r="E100" s="146">
        <v>522</v>
      </c>
      <c r="F100" s="146">
        <v>0</v>
      </c>
      <c r="G100" s="146">
        <v>0</v>
      </c>
      <c r="H100" s="556">
        <f t="shared" si="5"/>
        <v>522</v>
      </c>
      <c r="I100" s="146">
        <v>0</v>
      </c>
      <c r="J100" s="556">
        <v>0</v>
      </c>
      <c r="K100" s="556">
        <v>0</v>
      </c>
      <c r="L100" s="556">
        <f t="shared" si="6"/>
        <v>0</v>
      </c>
      <c r="M100" s="556">
        <v>0</v>
      </c>
      <c r="N100" s="556">
        <v>0</v>
      </c>
      <c r="O100" s="556">
        <v>0</v>
      </c>
      <c r="P100" s="556">
        <f t="shared" si="7"/>
        <v>0</v>
      </c>
    </row>
    <row r="101" spans="1:16" s="26" customFormat="1" x14ac:dyDescent="0.25">
      <c r="A101" s="588">
        <v>81</v>
      </c>
      <c r="B101" s="70" t="s">
        <v>218</v>
      </c>
      <c r="C101" s="30" t="s">
        <v>219</v>
      </c>
      <c r="D101" s="146">
        <v>0</v>
      </c>
      <c r="E101" s="146">
        <v>0</v>
      </c>
      <c r="F101" s="146">
        <v>0</v>
      </c>
      <c r="G101" s="146">
        <v>0</v>
      </c>
      <c r="H101" s="556">
        <f t="shared" si="5"/>
        <v>0</v>
      </c>
      <c r="I101" s="146">
        <v>0</v>
      </c>
      <c r="J101" s="556">
        <v>0</v>
      </c>
      <c r="K101" s="556">
        <v>0</v>
      </c>
      <c r="L101" s="556">
        <f t="shared" si="6"/>
        <v>0</v>
      </c>
      <c r="M101" s="556">
        <v>0</v>
      </c>
      <c r="N101" s="556">
        <v>0</v>
      </c>
      <c r="O101" s="556">
        <v>0</v>
      </c>
      <c r="P101" s="556">
        <f t="shared" si="7"/>
        <v>0</v>
      </c>
    </row>
    <row r="102" spans="1:16" s="26" customFormat="1" x14ac:dyDescent="0.25">
      <c r="A102" s="588">
        <v>82</v>
      </c>
      <c r="B102" s="70" t="s">
        <v>220</v>
      </c>
      <c r="C102" s="30" t="s">
        <v>221</v>
      </c>
      <c r="D102" s="146">
        <v>0</v>
      </c>
      <c r="E102" s="146">
        <v>0</v>
      </c>
      <c r="F102" s="146">
        <v>0</v>
      </c>
      <c r="G102" s="146">
        <v>0</v>
      </c>
      <c r="H102" s="556">
        <f t="shared" si="5"/>
        <v>0</v>
      </c>
      <c r="I102" s="146">
        <v>0</v>
      </c>
      <c r="J102" s="556">
        <v>0</v>
      </c>
      <c r="K102" s="556">
        <v>0</v>
      </c>
      <c r="L102" s="556">
        <f t="shared" si="6"/>
        <v>0</v>
      </c>
      <c r="M102" s="556">
        <v>0</v>
      </c>
      <c r="N102" s="556">
        <v>0</v>
      </c>
      <c r="O102" s="556">
        <v>0</v>
      </c>
      <c r="P102" s="556">
        <f t="shared" si="7"/>
        <v>0</v>
      </c>
    </row>
    <row r="103" spans="1:16" s="26" customFormat="1" x14ac:dyDescent="0.25">
      <c r="A103" s="588">
        <v>83</v>
      </c>
      <c r="B103" s="604" t="s">
        <v>222</v>
      </c>
      <c r="C103" s="30" t="s">
        <v>223</v>
      </c>
      <c r="D103" s="146">
        <v>0</v>
      </c>
      <c r="E103" s="146">
        <v>0</v>
      </c>
      <c r="F103" s="146">
        <v>0</v>
      </c>
      <c r="G103" s="146">
        <v>0</v>
      </c>
      <c r="H103" s="556">
        <f t="shared" si="5"/>
        <v>0</v>
      </c>
      <c r="I103" s="146">
        <v>0</v>
      </c>
      <c r="J103" s="556">
        <v>0</v>
      </c>
      <c r="K103" s="556">
        <v>0</v>
      </c>
      <c r="L103" s="556">
        <f t="shared" si="6"/>
        <v>0</v>
      </c>
      <c r="M103" s="556">
        <v>0</v>
      </c>
      <c r="N103" s="556">
        <v>0</v>
      </c>
      <c r="O103" s="556">
        <v>0</v>
      </c>
      <c r="P103" s="556">
        <f t="shared" si="7"/>
        <v>0</v>
      </c>
    </row>
    <row r="104" spans="1:16" s="26" customFormat="1" x14ac:dyDescent="0.25">
      <c r="A104" s="588">
        <v>84</v>
      </c>
      <c r="B104" s="70" t="s">
        <v>224</v>
      </c>
      <c r="C104" s="30" t="s">
        <v>225</v>
      </c>
      <c r="D104" s="146">
        <v>0</v>
      </c>
      <c r="E104" s="146">
        <v>0</v>
      </c>
      <c r="F104" s="146">
        <v>0</v>
      </c>
      <c r="G104" s="146">
        <v>0</v>
      </c>
      <c r="H104" s="556">
        <f t="shared" si="5"/>
        <v>0</v>
      </c>
      <c r="I104" s="146">
        <v>0</v>
      </c>
      <c r="J104" s="556">
        <v>0</v>
      </c>
      <c r="K104" s="556">
        <v>0</v>
      </c>
      <c r="L104" s="556">
        <f t="shared" si="6"/>
        <v>0</v>
      </c>
      <c r="M104" s="556">
        <v>0</v>
      </c>
      <c r="N104" s="556">
        <v>0</v>
      </c>
      <c r="O104" s="556">
        <v>0</v>
      </c>
      <c r="P104" s="556">
        <f t="shared" si="7"/>
        <v>0</v>
      </c>
    </row>
    <row r="105" spans="1:16" s="26" customFormat="1" x14ac:dyDescent="0.25">
      <c r="A105" s="588">
        <v>85</v>
      </c>
      <c r="B105" s="70" t="s">
        <v>226</v>
      </c>
      <c r="C105" s="30" t="s">
        <v>227</v>
      </c>
      <c r="D105" s="146">
        <v>0</v>
      </c>
      <c r="E105" s="146">
        <v>593</v>
      </c>
      <c r="F105" s="146">
        <v>0</v>
      </c>
      <c r="G105" s="146">
        <v>0</v>
      </c>
      <c r="H105" s="556">
        <f t="shared" si="5"/>
        <v>593</v>
      </c>
      <c r="I105" s="146">
        <v>0</v>
      </c>
      <c r="J105" s="556">
        <v>0</v>
      </c>
      <c r="K105" s="556">
        <v>0</v>
      </c>
      <c r="L105" s="556">
        <f t="shared" si="6"/>
        <v>0</v>
      </c>
      <c r="M105" s="556">
        <v>0</v>
      </c>
      <c r="N105" s="556">
        <v>0</v>
      </c>
      <c r="O105" s="556">
        <v>0</v>
      </c>
      <c r="P105" s="556">
        <f t="shared" si="7"/>
        <v>0</v>
      </c>
    </row>
    <row r="106" spans="1:16" s="26" customFormat="1" x14ac:dyDescent="0.25">
      <c r="A106" s="588">
        <v>86</v>
      </c>
      <c r="B106" s="71" t="s">
        <v>32</v>
      </c>
      <c r="C106" s="30" t="s">
        <v>33</v>
      </c>
      <c r="D106" s="146">
        <v>0</v>
      </c>
      <c r="E106" s="146">
        <v>1615</v>
      </c>
      <c r="F106" s="146">
        <v>74</v>
      </c>
      <c r="G106" s="146">
        <v>336</v>
      </c>
      <c r="H106" s="556">
        <f t="shared" si="5"/>
        <v>2025</v>
      </c>
      <c r="I106" s="146">
        <v>0</v>
      </c>
      <c r="J106" s="556">
        <v>0</v>
      </c>
      <c r="K106" s="556">
        <v>0</v>
      </c>
      <c r="L106" s="556">
        <f t="shared" si="6"/>
        <v>0</v>
      </c>
      <c r="M106" s="556">
        <v>0</v>
      </c>
      <c r="N106" s="556">
        <v>0</v>
      </c>
      <c r="O106" s="556">
        <v>0</v>
      </c>
      <c r="P106" s="556">
        <f t="shared" si="7"/>
        <v>0</v>
      </c>
    </row>
    <row r="107" spans="1:16" s="148" customFormat="1" x14ac:dyDescent="0.25">
      <c r="A107" s="588">
        <v>87</v>
      </c>
      <c r="B107" s="604" t="s">
        <v>228</v>
      </c>
      <c r="C107" s="30" t="s">
        <v>229</v>
      </c>
      <c r="D107" s="146">
        <v>0</v>
      </c>
      <c r="E107" s="146">
        <v>0</v>
      </c>
      <c r="F107" s="146">
        <v>0</v>
      </c>
      <c r="G107" s="146">
        <v>0</v>
      </c>
      <c r="H107" s="556">
        <f t="shared" si="5"/>
        <v>0</v>
      </c>
      <c r="I107" s="146">
        <v>0</v>
      </c>
      <c r="J107" s="556">
        <v>0</v>
      </c>
      <c r="K107" s="556">
        <v>0</v>
      </c>
      <c r="L107" s="556">
        <f t="shared" si="6"/>
        <v>0</v>
      </c>
      <c r="M107" s="556">
        <v>0</v>
      </c>
      <c r="N107" s="556">
        <v>0</v>
      </c>
      <c r="O107" s="556">
        <v>0</v>
      </c>
      <c r="P107" s="556">
        <f t="shared" si="7"/>
        <v>0</v>
      </c>
    </row>
    <row r="108" spans="1:16" s="26" customFormat="1" x14ac:dyDescent="0.25">
      <c r="A108" s="588">
        <v>88</v>
      </c>
      <c r="B108" s="70" t="s">
        <v>230</v>
      </c>
      <c r="C108" s="30" t="s">
        <v>231</v>
      </c>
      <c r="D108" s="146">
        <v>0</v>
      </c>
      <c r="E108" s="146">
        <v>1216</v>
      </c>
      <c r="F108" s="146">
        <v>0</v>
      </c>
      <c r="G108" s="146">
        <v>198</v>
      </c>
      <c r="H108" s="556">
        <f t="shared" si="5"/>
        <v>1414</v>
      </c>
      <c r="I108" s="146">
        <v>0</v>
      </c>
      <c r="J108" s="556">
        <v>0</v>
      </c>
      <c r="K108" s="556">
        <v>0</v>
      </c>
      <c r="L108" s="556">
        <f t="shared" si="6"/>
        <v>0</v>
      </c>
      <c r="M108" s="556">
        <v>0</v>
      </c>
      <c r="N108" s="556">
        <v>0</v>
      </c>
      <c r="O108" s="556">
        <v>0</v>
      </c>
      <c r="P108" s="556">
        <f t="shared" si="7"/>
        <v>0</v>
      </c>
    </row>
    <row r="109" spans="1:16" s="26" customFormat="1" x14ac:dyDescent="0.25">
      <c r="A109" s="588">
        <v>89</v>
      </c>
      <c r="B109" s="70" t="s">
        <v>232</v>
      </c>
      <c r="C109" s="30" t="s">
        <v>233</v>
      </c>
      <c r="D109" s="146">
        <v>0</v>
      </c>
      <c r="E109" s="146">
        <v>0</v>
      </c>
      <c r="F109" s="146">
        <v>0</v>
      </c>
      <c r="G109" s="146">
        <v>0</v>
      </c>
      <c r="H109" s="556">
        <f t="shared" si="5"/>
        <v>0</v>
      </c>
      <c r="I109" s="146">
        <v>0</v>
      </c>
      <c r="J109" s="556">
        <v>0</v>
      </c>
      <c r="K109" s="556">
        <v>0</v>
      </c>
      <c r="L109" s="556">
        <f t="shared" si="6"/>
        <v>0</v>
      </c>
      <c r="M109" s="556">
        <v>0</v>
      </c>
      <c r="N109" s="556">
        <v>0</v>
      </c>
      <c r="O109" s="556">
        <v>0</v>
      </c>
      <c r="P109" s="556">
        <f t="shared" si="7"/>
        <v>0</v>
      </c>
    </row>
    <row r="110" spans="1:16" s="26" customFormat="1" x14ac:dyDescent="0.25">
      <c r="A110" s="588">
        <v>90</v>
      </c>
      <c r="B110" s="70" t="s">
        <v>234</v>
      </c>
      <c r="C110" s="30" t="s">
        <v>235</v>
      </c>
      <c r="D110" s="146">
        <v>0</v>
      </c>
      <c r="E110" s="146">
        <v>0</v>
      </c>
      <c r="F110" s="146">
        <v>0</v>
      </c>
      <c r="G110" s="146">
        <v>0</v>
      </c>
      <c r="H110" s="556">
        <f t="shared" si="5"/>
        <v>0</v>
      </c>
      <c r="I110" s="146">
        <v>0</v>
      </c>
      <c r="J110" s="556">
        <v>0</v>
      </c>
      <c r="K110" s="556">
        <v>0</v>
      </c>
      <c r="L110" s="556">
        <f t="shared" si="6"/>
        <v>0</v>
      </c>
      <c r="M110" s="556">
        <v>0</v>
      </c>
      <c r="N110" s="556">
        <v>0</v>
      </c>
      <c r="O110" s="556">
        <v>0</v>
      </c>
      <c r="P110" s="556">
        <f t="shared" si="7"/>
        <v>0</v>
      </c>
    </row>
    <row r="111" spans="1:16" s="26" customFormat="1" x14ac:dyDescent="0.25">
      <c r="A111" s="588">
        <v>91</v>
      </c>
      <c r="B111" s="604" t="s">
        <v>236</v>
      </c>
      <c r="C111" s="30" t="s">
        <v>237</v>
      </c>
      <c r="D111" s="146">
        <v>0</v>
      </c>
      <c r="E111" s="146">
        <v>0</v>
      </c>
      <c r="F111" s="146">
        <v>0</v>
      </c>
      <c r="G111" s="146">
        <v>0</v>
      </c>
      <c r="H111" s="556">
        <f t="shared" si="5"/>
        <v>0</v>
      </c>
      <c r="I111" s="146">
        <v>0</v>
      </c>
      <c r="J111" s="556">
        <v>0</v>
      </c>
      <c r="K111" s="556">
        <v>0</v>
      </c>
      <c r="L111" s="556">
        <f t="shared" si="6"/>
        <v>0</v>
      </c>
      <c r="M111" s="556">
        <v>0</v>
      </c>
      <c r="N111" s="556">
        <v>0</v>
      </c>
      <c r="O111" s="556">
        <v>0</v>
      </c>
      <c r="P111" s="556">
        <f t="shared" si="7"/>
        <v>0</v>
      </c>
    </row>
    <row r="112" spans="1:16" s="26" customFormat="1" x14ac:dyDescent="0.25">
      <c r="A112" s="588">
        <v>92</v>
      </c>
      <c r="B112" s="604" t="s">
        <v>238</v>
      </c>
      <c r="C112" s="30" t="s">
        <v>239</v>
      </c>
      <c r="D112" s="146">
        <v>0</v>
      </c>
      <c r="E112" s="146">
        <v>0</v>
      </c>
      <c r="F112" s="146">
        <v>0</v>
      </c>
      <c r="G112" s="146">
        <v>0</v>
      </c>
      <c r="H112" s="556">
        <f t="shared" si="5"/>
        <v>0</v>
      </c>
      <c r="I112" s="146">
        <v>0</v>
      </c>
      <c r="J112" s="556">
        <v>0</v>
      </c>
      <c r="K112" s="556">
        <v>0</v>
      </c>
      <c r="L112" s="556">
        <f t="shared" si="6"/>
        <v>0</v>
      </c>
      <c r="M112" s="556">
        <v>0</v>
      </c>
      <c r="N112" s="556">
        <v>0</v>
      </c>
      <c r="O112" s="556">
        <v>0</v>
      </c>
      <c r="P112" s="556">
        <f t="shared" si="7"/>
        <v>0</v>
      </c>
    </row>
    <row r="113" spans="1:16" s="26" customFormat="1" x14ac:dyDescent="0.25">
      <c r="A113" s="588">
        <v>93</v>
      </c>
      <c r="B113" s="604" t="s">
        <v>240</v>
      </c>
      <c r="C113" s="30" t="s">
        <v>241</v>
      </c>
      <c r="D113" s="146">
        <v>0</v>
      </c>
      <c r="E113" s="146">
        <v>0</v>
      </c>
      <c r="F113" s="146">
        <v>0</v>
      </c>
      <c r="G113" s="146">
        <v>0</v>
      </c>
      <c r="H113" s="556">
        <f t="shared" si="5"/>
        <v>0</v>
      </c>
      <c r="I113" s="146">
        <v>0</v>
      </c>
      <c r="J113" s="556">
        <v>0</v>
      </c>
      <c r="K113" s="556">
        <v>0</v>
      </c>
      <c r="L113" s="556">
        <f t="shared" si="6"/>
        <v>0</v>
      </c>
      <c r="M113" s="556">
        <v>0</v>
      </c>
      <c r="N113" s="556">
        <v>0</v>
      </c>
      <c r="O113" s="556">
        <v>0</v>
      </c>
      <c r="P113" s="556">
        <f t="shared" si="7"/>
        <v>0</v>
      </c>
    </row>
    <row r="114" spans="1:16" s="26" customFormat="1" x14ac:dyDescent="0.25">
      <c r="A114" s="588">
        <v>94</v>
      </c>
      <c r="B114" s="604" t="s">
        <v>242</v>
      </c>
      <c r="C114" s="30" t="s">
        <v>243</v>
      </c>
      <c r="D114" s="146">
        <v>0</v>
      </c>
      <c r="E114" s="146">
        <v>0</v>
      </c>
      <c r="F114" s="146">
        <v>0</v>
      </c>
      <c r="G114" s="146">
        <v>0</v>
      </c>
      <c r="H114" s="556">
        <f t="shared" si="5"/>
        <v>0</v>
      </c>
      <c r="I114" s="146">
        <v>1329</v>
      </c>
      <c r="J114" s="556">
        <v>0</v>
      </c>
      <c r="K114" s="556">
        <v>0</v>
      </c>
      <c r="L114" s="556">
        <f t="shared" si="6"/>
        <v>1329</v>
      </c>
      <c r="M114" s="556">
        <v>0</v>
      </c>
      <c r="N114" s="556">
        <v>0</v>
      </c>
      <c r="O114" s="556">
        <v>0</v>
      </c>
      <c r="P114" s="556">
        <f t="shared" si="7"/>
        <v>0</v>
      </c>
    </row>
    <row r="115" spans="1:16" s="26" customFormat="1" x14ac:dyDescent="0.25">
      <c r="A115" s="588">
        <v>95</v>
      </c>
      <c r="B115" s="604" t="s">
        <v>244</v>
      </c>
      <c r="C115" s="30" t="s">
        <v>245</v>
      </c>
      <c r="D115" s="146">
        <v>0</v>
      </c>
      <c r="E115" s="146">
        <v>0</v>
      </c>
      <c r="F115" s="146">
        <v>0</v>
      </c>
      <c r="G115" s="146">
        <v>0</v>
      </c>
      <c r="H115" s="556">
        <f t="shared" si="5"/>
        <v>0</v>
      </c>
      <c r="I115" s="146">
        <v>0</v>
      </c>
      <c r="J115" s="556">
        <v>0</v>
      </c>
      <c r="K115" s="556">
        <v>0</v>
      </c>
      <c r="L115" s="556">
        <f t="shared" si="6"/>
        <v>0</v>
      </c>
      <c r="M115" s="556">
        <v>0</v>
      </c>
      <c r="N115" s="556">
        <v>0</v>
      </c>
      <c r="O115" s="556">
        <v>0</v>
      </c>
      <c r="P115" s="556">
        <f t="shared" si="7"/>
        <v>0</v>
      </c>
    </row>
    <row r="116" spans="1:16" s="26" customFormat="1" x14ac:dyDescent="0.25">
      <c r="A116" s="588">
        <v>96</v>
      </c>
      <c r="B116" s="591" t="s">
        <v>246</v>
      </c>
      <c r="C116" s="590" t="s">
        <v>247</v>
      </c>
      <c r="D116" s="146">
        <v>0</v>
      </c>
      <c r="E116" s="146">
        <v>4063</v>
      </c>
      <c r="F116" s="146">
        <v>110</v>
      </c>
      <c r="G116" s="146">
        <v>991</v>
      </c>
      <c r="H116" s="556">
        <f t="shared" si="5"/>
        <v>5164</v>
      </c>
      <c r="I116" s="146">
        <v>13574</v>
      </c>
      <c r="J116" s="556">
        <v>1243</v>
      </c>
      <c r="K116" s="556">
        <v>323</v>
      </c>
      <c r="L116" s="556">
        <f t="shared" si="6"/>
        <v>15140</v>
      </c>
      <c r="M116" s="556">
        <v>0</v>
      </c>
      <c r="N116" s="556">
        <v>0</v>
      </c>
      <c r="O116" s="556">
        <v>0</v>
      </c>
      <c r="P116" s="556">
        <f t="shared" si="7"/>
        <v>0</v>
      </c>
    </row>
    <row r="117" spans="1:16" s="26" customFormat="1" x14ac:dyDescent="0.25">
      <c r="A117" s="588">
        <v>97</v>
      </c>
      <c r="B117" s="71" t="s">
        <v>248</v>
      </c>
      <c r="C117" s="30" t="s">
        <v>249</v>
      </c>
      <c r="D117" s="146">
        <v>0</v>
      </c>
      <c r="E117" s="146">
        <v>0</v>
      </c>
      <c r="F117" s="146">
        <v>0</v>
      </c>
      <c r="G117" s="146">
        <v>0</v>
      </c>
      <c r="H117" s="556">
        <f t="shared" si="5"/>
        <v>0</v>
      </c>
      <c r="I117" s="146">
        <v>2420</v>
      </c>
      <c r="J117" s="556">
        <v>218</v>
      </c>
      <c r="K117" s="556">
        <v>0</v>
      </c>
      <c r="L117" s="556">
        <f t="shared" si="6"/>
        <v>2638</v>
      </c>
      <c r="M117" s="556">
        <v>0</v>
      </c>
      <c r="N117" s="556">
        <v>0</v>
      </c>
      <c r="O117" s="556">
        <v>0</v>
      </c>
      <c r="P117" s="556">
        <f t="shared" si="7"/>
        <v>0</v>
      </c>
    </row>
    <row r="118" spans="1:16" s="26" customFormat="1" x14ac:dyDescent="0.25">
      <c r="A118" s="588">
        <v>98</v>
      </c>
      <c r="B118" s="604" t="s">
        <v>250</v>
      </c>
      <c r="C118" s="30" t="s">
        <v>251</v>
      </c>
      <c r="D118" s="146">
        <v>0</v>
      </c>
      <c r="E118" s="146">
        <v>0</v>
      </c>
      <c r="F118" s="146">
        <v>0</v>
      </c>
      <c r="G118" s="146">
        <v>0</v>
      </c>
      <c r="H118" s="556">
        <f t="shared" si="5"/>
        <v>0</v>
      </c>
      <c r="I118" s="146">
        <v>0</v>
      </c>
      <c r="J118" s="556">
        <v>0</v>
      </c>
      <c r="K118" s="556">
        <v>0</v>
      </c>
      <c r="L118" s="556">
        <f t="shared" si="6"/>
        <v>0</v>
      </c>
      <c r="M118" s="556">
        <v>0</v>
      </c>
      <c r="N118" s="556">
        <v>0</v>
      </c>
      <c r="O118" s="556">
        <v>0</v>
      </c>
      <c r="P118" s="556">
        <f t="shared" si="7"/>
        <v>0</v>
      </c>
    </row>
    <row r="119" spans="1:16" s="26" customFormat="1" x14ac:dyDescent="0.25">
      <c r="A119" s="588">
        <v>99</v>
      </c>
      <c r="B119" s="70" t="s">
        <v>252</v>
      </c>
      <c r="C119" s="119" t="s">
        <v>253</v>
      </c>
      <c r="D119" s="146">
        <v>0</v>
      </c>
      <c r="E119" s="146">
        <v>0</v>
      </c>
      <c r="F119" s="146">
        <v>0</v>
      </c>
      <c r="G119" s="146">
        <v>0</v>
      </c>
      <c r="H119" s="556">
        <f t="shared" si="5"/>
        <v>0</v>
      </c>
      <c r="I119" s="146">
        <v>0</v>
      </c>
      <c r="J119" s="556">
        <v>0</v>
      </c>
      <c r="K119" s="556">
        <v>0</v>
      </c>
      <c r="L119" s="556">
        <f t="shared" si="6"/>
        <v>0</v>
      </c>
      <c r="M119" s="556">
        <v>0</v>
      </c>
      <c r="N119" s="556">
        <v>0</v>
      </c>
      <c r="O119" s="556">
        <v>0</v>
      </c>
      <c r="P119" s="556">
        <f t="shared" si="7"/>
        <v>0</v>
      </c>
    </row>
    <row r="120" spans="1:16" s="26" customFormat="1" x14ac:dyDescent="0.25">
      <c r="A120" s="588">
        <v>100</v>
      </c>
      <c r="B120" s="604" t="s">
        <v>254</v>
      </c>
      <c r="C120" s="30" t="s">
        <v>255</v>
      </c>
      <c r="D120" s="146">
        <v>0</v>
      </c>
      <c r="E120" s="146">
        <v>0</v>
      </c>
      <c r="F120" s="146">
        <v>0</v>
      </c>
      <c r="G120" s="146">
        <v>0</v>
      </c>
      <c r="H120" s="556">
        <f t="shared" si="5"/>
        <v>0</v>
      </c>
      <c r="I120" s="146">
        <v>1595</v>
      </c>
      <c r="J120" s="556">
        <v>0</v>
      </c>
      <c r="K120" s="556">
        <v>0</v>
      </c>
      <c r="L120" s="556">
        <f t="shared" si="6"/>
        <v>1595</v>
      </c>
      <c r="M120" s="556">
        <v>0</v>
      </c>
      <c r="N120" s="556">
        <v>0</v>
      </c>
      <c r="O120" s="556">
        <v>0</v>
      </c>
      <c r="P120" s="556">
        <f t="shared" si="7"/>
        <v>0</v>
      </c>
    </row>
    <row r="121" spans="1:16" s="26" customFormat="1" x14ac:dyDescent="0.25">
      <c r="A121" s="588">
        <v>101</v>
      </c>
      <c r="B121" s="71" t="s">
        <v>256</v>
      </c>
      <c r="C121" s="30" t="s">
        <v>257</v>
      </c>
      <c r="D121" s="146">
        <v>0</v>
      </c>
      <c r="E121" s="146">
        <v>422</v>
      </c>
      <c r="F121" s="146">
        <v>25</v>
      </c>
      <c r="G121" s="146">
        <v>69</v>
      </c>
      <c r="H121" s="556">
        <f t="shared" si="5"/>
        <v>516</v>
      </c>
      <c r="I121" s="146">
        <v>1182</v>
      </c>
      <c r="J121" s="556">
        <v>92</v>
      </c>
      <c r="K121" s="556">
        <v>0</v>
      </c>
      <c r="L121" s="556">
        <f t="shared" si="6"/>
        <v>1274</v>
      </c>
      <c r="M121" s="556">
        <v>0</v>
      </c>
      <c r="N121" s="556">
        <v>0</v>
      </c>
      <c r="O121" s="556">
        <v>0</v>
      </c>
      <c r="P121" s="556">
        <f t="shared" si="7"/>
        <v>0</v>
      </c>
    </row>
    <row r="122" spans="1:16" s="26" customFormat="1" x14ac:dyDescent="0.25">
      <c r="A122" s="588">
        <v>102</v>
      </c>
      <c r="B122" s="70" t="s">
        <v>258</v>
      </c>
      <c r="C122" s="30" t="s">
        <v>259</v>
      </c>
      <c r="D122" s="146">
        <v>0</v>
      </c>
      <c r="E122" s="146">
        <v>0</v>
      </c>
      <c r="F122" s="146">
        <v>0</v>
      </c>
      <c r="G122" s="146">
        <v>0</v>
      </c>
      <c r="H122" s="556">
        <f t="shared" si="5"/>
        <v>0</v>
      </c>
      <c r="I122" s="146">
        <v>0</v>
      </c>
      <c r="J122" s="556">
        <v>0</v>
      </c>
      <c r="K122" s="556">
        <v>0</v>
      </c>
      <c r="L122" s="556">
        <f t="shared" si="6"/>
        <v>0</v>
      </c>
      <c r="M122" s="556">
        <v>0</v>
      </c>
      <c r="N122" s="556">
        <v>0</v>
      </c>
      <c r="O122" s="556">
        <v>0</v>
      </c>
      <c r="P122" s="556">
        <f t="shared" si="7"/>
        <v>0</v>
      </c>
    </row>
    <row r="123" spans="1:16" s="26" customFormat="1" x14ac:dyDescent="0.25">
      <c r="A123" s="588">
        <v>103</v>
      </c>
      <c r="B123" s="592" t="s">
        <v>542</v>
      </c>
      <c r="C123" s="590" t="s">
        <v>543</v>
      </c>
      <c r="D123" s="146">
        <v>0</v>
      </c>
      <c r="E123" s="146">
        <v>0</v>
      </c>
      <c r="F123" s="146">
        <v>0</v>
      </c>
      <c r="G123" s="146">
        <v>0</v>
      </c>
      <c r="H123" s="556">
        <f t="shared" si="5"/>
        <v>0</v>
      </c>
      <c r="I123" s="146">
        <v>0</v>
      </c>
      <c r="J123" s="556">
        <v>0</v>
      </c>
      <c r="K123" s="556">
        <v>0</v>
      </c>
      <c r="L123" s="556">
        <f t="shared" si="6"/>
        <v>0</v>
      </c>
      <c r="M123" s="556">
        <v>0</v>
      </c>
      <c r="N123" s="556">
        <v>0</v>
      </c>
      <c r="O123" s="556">
        <v>0</v>
      </c>
      <c r="P123" s="556">
        <f t="shared" si="7"/>
        <v>0</v>
      </c>
    </row>
    <row r="124" spans="1:16" s="26" customFormat="1" x14ac:dyDescent="0.25">
      <c r="A124" s="588">
        <v>104</v>
      </c>
      <c r="B124" s="71" t="s">
        <v>260</v>
      </c>
      <c r="C124" s="30" t="s">
        <v>261</v>
      </c>
      <c r="D124" s="146">
        <v>0</v>
      </c>
      <c r="E124" s="146">
        <v>0</v>
      </c>
      <c r="F124" s="146">
        <v>0</v>
      </c>
      <c r="G124" s="146">
        <v>0</v>
      </c>
      <c r="H124" s="556">
        <f t="shared" si="5"/>
        <v>0</v>
      </c>
      <c r="I124" s="146">
        <v>0</v>
      </c>
      <c r="J124" s="556">
        <v>0</v>
      </c>
      <c r="K124" s="556">
        <v>0</v>
      </c>
      <c r="L124" s="556">
        <f t="shared" si="6"/>
        <v>0</v>
      </c>
      <c r="M124" s="556">
        <v>0</v>
      </c>
      <c r="N124" s="556">
        <v>0</v>
      </c>
      <c r="O124" s="556">
        <v>0</v>
      </c>
      <c r="P124" s="556">
        <f t="shared" si="7"/>
        <v>0</v>
      </c>
    </row>
    <row r="125" spans="1:16" s="26" customFormat="1" x14ac:dyDescent="0.25">
      <c r="A125" s="588">
        <v>105</v>
      </c>
      <c r="B125" s="604" t="s">
        <v>262</v>
      </c>
      <c r="C125" s="30" t="s">
        <v>263</v>
      </c>
      <c r="D125" s="146">
        <v>0</v>
      </c>
      <c r="E125" s="146">
        <v>0</v>
      </c>
      <c r="F125" s="146">
        <v>0</v>
      </c>
      <c r="G125" s="146">
        <v>0</v>
      </c>
      <c r="H125" s="556">
        <f t="shared" si="5"/>
        <v>0</v>
      </c>
      <c r="I125" s="146">
        <v>0</v>
      </c>
      <c r="J125" s="556">
        <v>0</v>
      </c>
      <c r="K125" s="556">
        <v>0</v>
      </c>
      <c r="L125" s="556">
        <f t="shared" si="6"/>
        <v>0</v>
      </c>
      <c r="M125" s="556">
        <v>0</v>
      </c>
      <c r="N125" s="556">
        <v>0</v>
      </c>
      <c r="O125" s="556">
        <v>0</v>
      </c>
      <c r="P125" s="556">
        <f t="shared" si="7"/>
        <v>0</v>
      </c>
    </row>
    <row r="126" spans="1:16" s="26" customFormat="1" x14ac:dyDescent="0.25">
      <c r="A126" s="588">
        <v>106</v>
      </c>
      <c r="B126" s="604" t="s">
        <v>264</v>
      </c>
      <c r="C126" s="120" t="s">
        <v>265</v>
      </c>
      <c r="D126" s="146">
        <v>0</v>
      </c>
      <c r="E126" s="146">
        <v>0</v>
      </c>
      <c r="F126" s="146">
        <v>0</v>
      </c>
      <c r="G126" s="146">
        <v>0</v>
      </c>
      <c r="H126" s="556">
        <f t="shared" si="5"/>
        <v>0</v>
      </c>
      <c r="I126" s="146">
        <v>0</v>
      </c>
      <c r="J126" s="556">
        <v>0</v>
      </c>
      <c r="K126" s="556">
        <v>0</v>
      </c>
      <c r="L126" s="556">
        <f t="shared" si="6"/>
        <v>0</v>
      </c>
      <c r="M126" s="556">
        <v>0</v>
      </c>
      <c r="N126" s="556">
        <v>0</v>
      </c>
      <c r="O126" s="556">
        <v>0</v>
      </c>
      <c r="P126" s="556">
        <f t="shared" si="7"/>
        <v>0</v>
      </c>
    </row>
    <row r="127" spans="1:16" s="26" customFormat="1" x14ac:dyDescent="0.25">
      <c r="A127" s="588">
        <v>107</v>
      </c>
      <c r="B127" s="604" t="s">
        <v>266</v>
      </c>
      <c r="C127" s="30" t="s">
        <v>267</v>
      </c>
      <c r="D127" s="146">
        <v>0</v>
      </c>
      <c r="E127" s="146">
        <v>10601</v>
      </c>
      <c r="F127" s="146">
        <v>0</v>
      </c>
      <c r="G127" s="146">
        <v>3829</v>
      </c>
      <c r="H127" s="556">
        <f t="shared" si="5"/>
        <v>14430</v>
      </c>
      <c r="I127" s="146">
        <v>6430</v>
      </c>
      <c r="J127" s="556">
        <v>0</v>
      </c>
      <c r="K127" s="556">
        <v>1498</v>
      </c>
      <c r="L127" s="556">
        <f t="shared" si="6"/>
        <v>7928</v>
      </c>
      <c r="M127" s="556">
        <v>0</v>
      </c>
      <c r="N127" s="556">
        <v>3161</v>
      </c>
      <c r="O127" s="556">
        <v>0</v>
      </c>
      <c r="P127" s="556">
        <f t="shared" si="7"/>
        <v>3161</v>
      </c>
    </row>
    <row r="128" spans="1:16" s="26" customFormat="1" x14ac:dyDescent="0.25">
      <c r="A128" s="588">
        <v>108</v>
      </c>
      <c r="B128" s="604" t="s">
        <v>268</v>
      </c>
      <c r="C128" s="30" t="s">
        <v>269</v>
      </c>
      <c r="D128" s="146">
        <v>0</v>
      </c>
      <c r="E128" s="146">
        <v>36542</v>
      </c>
      <c r="F128" s="146">
        <v>0</v>
      </c>
      <c r="G128" s="146">
        <v>15069</v>
      </c>
      <c r="H128" s="556">
        <f t="shared" si="5"/>
        <v>51611</v>
      </c>
      <c r="I128" s="146">
        <v>14194</v>
      </c>
      <c r="J128" s="556">
        <v>0</v>
      </c>
      <c r="K128" s="556">
        <v>2354</v>
      </c>
      <c r="L128" s="556">
        <f t="shared" si="6"/>
        <v>16548</v>
      </c>
      <c r="M128" s="556">
        <v>0</v>
      </c>
      <c r="N128" s="556">
        <v>5279</v>
      </c>
      <c r="O128" s="556">
        <v>3171</v>
      </c>
      <c r="P128" s="556">
        <f t="shared" si="7"/>
        <v>8450</v>
      </c>
    </row>
    <row r="129" spans="1:16" s="26" customFormat="1" x14ac:dyDescent="0.25">
      <c r="A129" s="588">
        <v>109</v>
      </c>
      <c r="B129" s="604" t="s">
        <v>270</v>
      </c>
      <c r="C129" s="30" t="s">
        <v>271</v>
      </c>
      <c r="D129" s="146">
        <v>0</v>
      </c>
      <c r="E129" s="146">
        <v>601</v>
      </c>
      <c r="F129" s="146">
        <v>0</v>
      </c>
      <c r="G129" s="146">
        <v>2536</v>
      </c>
      <c r="H129" s="556">
        <f t="shared" si="5"/>
        <v>3137</v>
      </c>
      <c r="I129" s="146">
        <v>400</v>
      </c>
      <c r="J129" s="556">
        <v>0</v>
      </c>
      <c r="K129" s="556">
        <v>100</v>
      </c>
      <c r="L129" s="556">
        <f t="shared" si="6"/>
        <v>500</v>
      </c>
      <c r="M129" s="556">
        <v>0</v>
      </c>
      <c r="N129" s="556">
        <v>2901</v>
      </c>
      <c r="O129" s="556">
        <v>0</v>
      </c>
      <c r="P129" s="556">
        <f t="shared" si="7"/>
        <v>2901</v>
      </c>
    </row>
    <row r="130" spans="1:16" s="26" customFormat="1" x14ac:dyDescent="0.25">
      <c r="A130" s="588">
        <v>110</v>
      </c>
      <c r="B130" s="70" t="s">
        <v>272</v>
      </c>
      <c r="C130" s="30" t="s">
        <v>273</v>
      </c>
      <c r="D130" s="146">
        <v>0</v>
      </c>
      <c r="E130" s="146">
        <v>4472</v>
      </c>
      <c r="F130" s="146">
        <v>0</v>
      </c>
      <c r="G130" s="146">
        <v>0</v>
      </c>
      <c r="H130" s="556">
        <f t="shared" si="5"/>
        <v>4472</v>
      </c>
      <c r="I130" s="146">
        <v>2893</v>
      </c>
      <c r="J130" s="556">
        <v>0</v>
      </c>
      <c r="K130" s="556">
        <v>0</v>
      </c>
      <c r="L130" s="556">
        <f t="shared" si="6"/>
        <v>2893</v>
      </c>
      <c r="M130" s="556">
        <v>0</v>
      </c>
      <c r="N130" s="556">
        <v>0</v>
      </c>
      <c r="O130" s="556">
        <v>0</v>
      </c>
      <c r="P130" s="556">
        <f t="shared" si="7"/>
        <v>0</v>
      </c>
    </row>
    <row r="131" spans="1:16" x14ac:dyDescent="0.25">
      <c r="A131" s="588">
        <v>111</v>
      </c>
      <c r="B131" s="70" t="s">
        <v>274</v>
      </c>
      <c r="C131" s="30" t="s">
        <v>275</v>
      </c>
      <c r="D131" s="146">
        <v>0</v>
      </c>
      <c r="E131" s="146">
        <v>0</v>
      </c>
      <c r="F131" s="146">
        <v>0</v>
      </c>
      <c r="G131" s="146">
        <v>0</v>
      </c>
      <c r="H131" s="556">
        <f t="shared" si="5"/>
        <v>0</v>
      </c>
      <c r="I131" s="146">
        <v>0</v>
      </c>
      <c r="J131" s="556">
        <v>0</v>
      </c>
      <c r="K131" s="556">
        <v>0</v>
      </c>
      <c r="L131" s="556">
        <f t="shared" si="6"/>
        <v>0</v>
      </c>
      <c r="M131" s="556">
        <v>0</v>
      </c>
      <c r="N131" s="556">
        <v>0</v>
      </c>
      <c r="O131" s="556">
        <v>0</v>
      </c>
      <c r="P131" s="556">
        <f t="shared" si="7"/>
        <v>0</v>
      </c>
    </row>
    <row r="132" spans="1:16" s="26" customFormat="1" x14ac:dyDescent="0.25">
      <c r="A132" s="588">
        <v>112</v>
      </c>
      <c r="B132" s="70" t="s">
        <v>276</v>
      </c>
      <c r="C132" s="30" t="s">
        <v>277</v>
      </c>
      <c r="D132" s="146">
        <v>0</v>
      </c>
      <c r="E132" s="146">
        <v>0</v>
      </c>
      <c r="F132" s="146">
        <v>0</v>
      </c>
      <c r="G132" s="146">
        <v>0</v>
      </c>
      <c r="H132" s="556">
        <f t="shared" si="5"/>
        <v>0</v>
      </c>
      <c r="I132" s="146">
        <v>3623</v>
      </c>
      <c r="J132" s="556">
        <v>0</v>
      </c>
      <c r="K132" s="556">
        <v>0</v>
      </c>
      <c r="L132" s="556">
        <f t="shared" si="6"/>
        <v>3623</v>
      </c>
      <c r="M132" s="556">
        <v>0</v>
      </c>
      <c r="N132" s="556">
        <v>0</v>
      </c>
      <c r="O132" s="556">
        <v>0</v>
      </c>
      <c r="P132" s="556">
        <f t="shared" si="7"/>
        <v>0</v>
      </c>
    </row>
    <row r="133" spans="1:16" s="26" customFormat="1" x14ac:dyDescent="0.25">
      <c r="A133" s="588">
        <v>113</v>
      </c>
      <c r="B133" s="604" t="s">
        <v>278</v>
      </c>
      <c r="C133" s="30" t="s">
        <v>279</v>
      </c>
      <c r="D133" s="146">
        <v>0</v>
      </c>
      <c r="E133" s="146">
        <v>0</v>
      </c>
      <c r="F133" s="146">
        <v>0</v>
      </c>
      <c r="G133" s="146">
        <v>0</v>
      </c>
      <c r="H133" s="556">
        <f t="shared" si="5"/>
        <v>0</v>
      </c>
      <c r="I133" s="146">
        <v>0</v>
      </c>
      <c r="J133" s="556">
        <v>0</v>
      </c>
      <c r="K133" s="556">
        <v>0</v>
      </c>
      <c r="L133" s="556">
        <f t="shared" si="6"/>
        <v>0</v>
      </c>
      <c r="M133" s="556">
        <v>0</v>
      </c>
      <c r="N133" s="556">
        <v>0</v>
      </c>
      <c r="O133" s="556">
        <v>0</v>
      </c>
      <c r="P133" s="556">
        <f t="shared" si="7"/>
        <v>0</v>
      </c>
    </row>
    <row r="134" spans="1:16" s="26" customFormat="1" x14ac:dyDescent="0.25">
      <c r="A134" s="588">
        <v>114</v>
      </c>
      <c r="B134" s="604" t="s">
        <v>280</v>
      </c>
      <c r="C134" s="30" t="s">
        <v>281</v>
      </c>
      <c r="D134" s="146">
        <v>0</v>
      </c>
      <c r="E134" s="146">
        <v>0</v>
      </c>
      <c r="F134" s="146">
        <v>0</v>
      </c>
      <c r="G134" s="146">
        <v>0</v>
      </c>
      <c r="H134" s="556">
        <f t="shared" si="5"/>
        <v>0</v>
      </c>
      <c r="I134" s="146">
        <v>0</v>
      </c>
      <c r="J134" s="556">
        <v>0</v>
      </c>
      <c r="K134" s="556">
        <v>0</v>
      </c>
      <c r="L134" s="556">
        <f t="shared" si="6"/>
        <v>0</v>
      </c>
      <c r="M134" s="556">
        <v>0</v>
      </c>
      <c r="N134" s="556">
        <v>0</v>
      </c>
      <c r="O134" s="556">
        <v>0</v>
      </c>
      <c r="P134" s="556">
        <f t="shared" si="7"/>
        <v>0</v>
      </c>
    </row>
    <row r="135" spans="1:16" s="26" customFormat="1" x14ac:dyDescent="0.25">
      <c r="A135" s="588">
        <v>115</v>
      </c>
      <c r="B135" s="604" t="s">
        <v>282</v>
      </c>
      <c r="C135" s="30" t="s">
        <v>768</v>
      </c>
      <c r="D135" s="146">
        <v>0</v>
      </c>
      <c r="E135" s="146">
        <v>2416</v>
      </c>
      <c r="F135" s="146">
        <v>176</v>
      </c>
      <c r="G135" s="146">
        <v>583</v>
      </c>
      <c r="H135" s="556">
        <f t="shared" si="5"/>
        <v>3175</v>
      </c>
      <c r="I135" s="146">
        <v>0</v>
      </c>
      <c r="J135" s="556">
        <v>0</v>
      </c>
      <c r="K135" s="556">
        <v>0</v>
      </c>
      <c r="L135" s="556">
        <f t="shared" si="6"/>
        <v>0</v>
      </c>
      <c r="M135" s="556">
        <v>0</v>
      </c>
      <c r="N135" s="556">
        <v>0</v>
      </c>
      <c r="O135" s="556">
        <v>0</v>
      </c>
      <c r="P135" s="556">
        <f t="shared" si="7"/>
        <v>0</v>
      </c>
    </row>
    <row r="136" spans="1:16" s="26" customFormat="1" x14ac:dyDescent="0.25">
      <c r="A136" s="588">
        <v>116</v>
      </c>
      <c r="B136" s="70" t="s">
        <v>283</v>
      </c>
      <c r="C136" s="30" t="s">
        <v>284</v>
      </c>
      <c r="D136" s="146">
        <v>0</v>
      </c>
      <c r="E136" s="146">
        <v>8407</v>
      </c>
      <c r="F136" s="146">
        <v>92</v>
      </c>
      <c r="G136" s="146">
        <v>4002</v>
      </c>
      <c r="H136" s="556">
        <f t="shared" si="5"/>
        <v>12501</v>
      </c>
      <c r="I136" s="146">
        <v>6523</v>
      </c>
      <c r="J136" s="556">
        <v>952</v>
      </c>
      <c r="K136" s="556">
        <v>952</v>
      </c>
      <c r="L136" s="556">
        <f t="shared" si="6"/>
        <v>8427</v>
      </c>
      <c r="M136" s="556">
        <v>0</v>
      </c>
      <c r="N136" s="556">
        <v>0</v>
      </c>
      <c r="O136" s="556">
        <v>0</v>
      </c>
      <c r="P136" s="556">
        <f t="shared" si="7"/>
        <v>0</v>
      </c>
    </row>
    <row r="137" spans="1:16" s="26" customFormat="1" x14ac:dyDescent="0.25">
      <c r="A137" s="588">
        <v>117</v>
      </c>
      <c r="B137" s="71" t="s">
        <v>285</v>
      </c>
      <c r="C137" s="30" t="s">
        <v>726</v>
      </c>
      <c r="D137" s="146">
        <v>0</v>
      </c>
      <c r="E137" s="146">
        <v>2661</v>
      </c>
      <c r="F137" s="146">
        <v>48</v>
      </c>
      <c r="G137" s="146">
        <v>433</v>
      </c>
      <c r="H137" s="556">
        <f t="shared" si="5"/>
        <v>3142</v>
      </c>
      <c r="I137" s="146">
        <v>1114</v>
      </c>
      <c r="J137" s="556">
        <v>91</v>
      </c>
      <c r="K137" s="556">
        <v>0</v>
      </c>
      <c r="L137" s="556">
        <f t="shared" si="6"/>
        <v>1205</v>
      </c>
      <c r="M137" s="556">
        <v>0</v>
      </c>
      <c r="N137" s="556">
        <v>0</v>
      </c>
      <c r="O137" s="556">
        <v>0</v>
      </c>
      <c r="P137" s="556">
        <f t="shared" si="7"/>
        <v>0</v>
      </c>
    </row>
    <row r="138" spans="1:16" s="26" customFormat="1" x14ac:dyDescent="0.25">
      <c r="A138" s="588">
        <v>118</v>
      </c>
      <c r="B138" s="604" t="s">
        <v>286</v>
      </c>
      <c r="C138" s="30" t="s">
        <v>287</v>
      </c>
      <c r="D138" s="146">
        <v>1609</v>
      </c>
      <c r="E138" s="146">
        <v>0</v>
      </c>
      <c r="F138" s="146">
        <v>0</v>
      </c>
      <c r="G138" s="146">
        <v>0</v>
      </c>
      <c r="H138" s="556">
        <f t="shared" ref="H138:H147" si="8">D138+E138+F138+G138</f>
        <v>1609</v>
      </c>
      <c r="I138" s="146">
        <v>0</v>
      </c>
      <c r="J138" s="556">
        <v>0</v>
      </c>
      <c r="K138" s="556">
        <v>0</v>
      </c>
      <c r="L138" s="556">
        <f t="shared" si="6"/>
        <v>0</v>
      </c>
      <c r="M138" s="556">
        <v>0</v>
      </c>
      <c r="N138" s="556">
        <v>0</v>
      </c>
      <c r="O138" s="556">
        <v>0</v>
      </c>
      <c r="P138" s="556">
        <f t="shared" si="7"/>
        <v>0</v>
      </c>
    </row>
    <row r="139" spans="1:16" s="26" customFormat="1" x14ac:dyDescent="0.25">
      <c r="A139" s="588">
        <v>119</v>
      </c>
      <c r="B139" s="70" t="s">
        <v>288</v>
      </c>
      <c r="C139" s="30" t="s">
        <v>289</v>
      </c>
      <c r="D139" s="146">
        <v>0</v>
      </c>
      <c r="E139" s="146">
        <v>0</v>
      </c>
      <c r="F139" s="146">
        <v>0</v>
      </c>
      <c r="G139" s="146">
        <v>0</v>
      </c>
      <c r="H139" s="556">
        <f t="shared" si="8"/>
        <v>0</v>
      </c>
      <c r="I139" s="146">
        <v>0</v>
      </c>
      <c r="J139" s="556">
        <v>0</v>
      </c>
      <c r="K139" s="556">
        <v>0</v>
      </c>
      <c r="L139" s="556">
        <f t="shared" ref="L139:L147" si="9">I139+J139+K139</f>
        <v>0</v>
      </c>
      <c r="M139" s="556">
        <v>0</v>
      </c>
      <c r="N139" s="556">
        <v>0</v>
      </c>
      <c r="O139" s="556">
        <v>0</v>
      </c>
      <c r="P139" s="556">
        <f t="shared" ref="P139:P147" si="10">N139+O139</f>
        <v>0</v>
      </c>
    </row>
    <row r="140" spans="1:16" s="26" customFormat="1" x14ac:dyDescent="0.25">
      <c r="A140" s="588">
        <v>120</v>
      </c>
      <c r="B140" s="604" t="s">
        <v>290</v>
      </c>
      <c r="C140" s="30" t="s">
        <v>291</v>
      </c>
      <c r="D140" s="146">
        <v>0</v>
      </c>
      <c r="E140" s="146">
        <v>0</v>
      </c>
      <c r="F140" s="146">
        <v>0</v>
      </c>
      <c r="G140" s="146">
        <v>0</v>
      </c>
      <c r="H140" s="556">
        <f t="shared" si="8"/>
        <v>0</v>
      </c>
      <c r="I140" s="146">
        <v>0</v>
      </c>
      <c r="J140" s="556">
        <v>0</v>
      </c>
      <c r="K140" s="556">
        <v>0</v>
      </c>
      <c r="L140" s="556">
        <f t="shared" si="9"/>
        <v>0</v>
      </c>
      <c r="M140" s="556">
        <v>7983</v>
      </c>
      <c r="N140" s="556">
        <v>0</v>
      </c>
      <c r="O140" s="556">
        <v>0</v>
      </c>
      <c r="P140" s="556">
        <f t="shared" si="10"/>
        <v>0</v>
      </c>
    </row>
    <row r="141" spans="1:16" x14ac:dyDescent="0.25">
      <c r="A141" s="588">
        <v>121</v>
      </c>
      <c r="B141" s="138" t="s">
        <v>292</v>
      </c>
      <c r="C141" s="593" t="s">
        <v>293</v>
      </c>
      <c r="D141" s="146">
        <v>0</v>
      </c>
      <c r="E141" s="146">
        <v>0</v>
      </c>
      <c r="F141" s="146">
        <v>0</v>
      </c>
      <c r="G141" s="146">
        <v>0</v>
      </c>
      <c r="H141" s="556">
        <f t="shared" si="8"/>
        <v>0</v>
      </c>
      <c r="I141" s="146">
        <v>0</v>
      </c>
      <c r="J141" s="556">
        <v>0</v>
      </c>
      <c r="K141" s="556">
        <v>0</v>
      </c>
      <c r="L141" s="556">
        <f t="shared" si="9"/>
        <v>0</v>
      </c>
      <c r="M141" s="556">
        <v>0</v>
      </c>
      <c r="N141" s="556">
        <v>0</v>
      </c>
      <c r="O141" s="556">
        <v>0</v>
      </c>
      <c r="P141" s="556">
        <f t="shared" si="10"/>
        <v>0</v>
      </c>
    </row>
    <row r="142" spans="1:16" x14ac:dyDescent="0.25">
      <c r="A142" s="588">
        <v>122</v>
      </c>
      <c r="B142" s="140" t="s">
        <v>294</v>
      </c>
      <c r="C142" s="594" t="s">
        <v>295</v>
      </c>
      <c r="D142" s="146">
        <v>0</v>
      </c>
      <c r="E142" s="146">
        <v>0</v>
      </c>
      <c r="F142" s="146">
        <v>0</v>
      </c>
      <c r="G142" s="146">
        <v>0</v>
      </c>
      <c r="H142" s="556">
        <f t="shared" si="8"/>
        <v>0</v>
      </c>
      <c r="I142" s="146">
        <v>0</v>
      </c>
      <c r="J142" s="556">
        <v>0</v>
      </c>
      <c r="K142" s="556">
        <v>0</v>
      </c>
      <c r="L142" s="556">
        <f t="shared" si="9"/>
        <v>0</v>
      </c>
      <c r="M142" s="556">
        <v>0</v>
      </c>
      <c r="N142" s="556">
        <v>0</v>
      </c>
      <c r="O142" s="556">
        <v>0</v>
      </c>
      <c r="P142" s="556">
        <f t="shared" si="10"/>
        <v>0</v>
      </c>
    </row>
    <row r="143" spans="1:16" x14ac:dyDescent="0.2">
      <c r="A143" s="588">
        <v>123</v>
      </c>
      <c r="B143" s="595" t="s">
        <v>296</v>
      </c>
      <c r="C143" s="596" t="s">
        <v>460</v>
      </c>
      <c r="D143" s="146">
        <v>0</v>
      </c>
      <c r="E143" s="146">
        <v>0</v>
      </c>
      <c r="F143" s="146">
        <v>0</v>
      </c>
      <c r="G143" s="146">
        <v>0</v>
      </c>
      <c r="H143" s="556">
        <f t="shared" si="8"/>
        <v>0</v>
      </c>
      <c r="I143" s="146">
        <v>0</v>
      </c>
      <c r="J143" s="556">
        <v>0</v>
      </c>
      <c r="K143" s="556">
        <v>0</v>
      </c>
      <c r="L143" s="556">
        <f t="shared" si="9"/>
        <v>0</v>
      </c>
      <c r="M143" s="556">
        <v>0</v>
      </c>
      <c r="N143" s="556">
        <v>0</v>
      </c>
      <c r="O143" s="556">
        <v>0</v>
      </c>
      <c r="P143" s="556">
        <f t="shared" si="10"/>
        <v>0</v>
      </c>
    </row>
    <row r="144" spans="1:16" x14ac:dyDescent="0.25">
      <c r="A144" s="588">
        <v>124</v>
      </c>
      <c r="B144" s="588" t="s">
        <v>298</v>
      </c>
      <c r="C144" s="597" t="s">
        <v>299</v>
      </c>
      <c r="D144" s="146">
        <v>0</v>
      </c>
      <c r="E144" s="146">
        <v>0</v>
      </c>
      <c r="F144" s="146">
        <v>0</v>
      </c>
      <c r="G144" s="146">
        <v>0</v>
      </c>
      <c r="H144" s="556">
        <f t="shared" si="8"/>
        <v>0</v>
      </c>
      <c r="I144" s="146">
        <v>0</v>
      </c>
      <c r="J144" s="556">
        <v>0</v>
      </c>
      <c r="K144" s="556">
        <v>0</v>
      </c>
      <c r="L144" s="556">
        <f t="shared" si="9"/>
        <v>0</v>
      </c>
      <c r="M144" s="556">
        <v>0</v>
      </c>
      <c r="N144" s="556">
        <v>0</v>
      </c>
      <c r="O144" s="556">
        <v>0</v>
      </c>
      <c r="P144" s="556">
        <f t="shared" si="10"/>
        <v>0</v>
      </c>
    </row>
    <row r="145" spans="1:16" x14ac:dyDescent="0.25">
      <c r="A145" s="588">
        <v>125</v>
      </c>
      <c r="B145" s="592" t="s">
        <v>300</v>
      </c>
      <c r="C145" s="597" t="s">
        <v>301</v>
      </c>
      <c r="D145" s="146">
        <v>0</v>
      </c>
      <c r="E145" s="146">
        <v>0</v>
      </c>
      <c r="F145" s="146">
        <v>0</v>
      </c>
      <c r="G145" s="146">
        <v>0</v>
      </c>
      <c r="H145" s="556">
        <f t="shared" si="8"/>
        <v>0</v>
      </c>
      <c r="I145" s="146">
        <v>0</v>
      </c>
      <c r="J145" s="556">
        <v>0</v>
      </c>
      <c r="K145" s="556">
        <v>0</v>
      </c>
      <c r="L145" s="556">
        <f t="shared" si="9"/>
        <v>0</v>
      </c>
      <c r="M145" s="556">
        <v>0</v>
      </c>
      <c r="N145" s="556">
        <v>0</v>
      </c>
      <c r="O145" s="556">
        <v>0</v>
      </c>
      <c r="P145" s="556">
        <f t="shared" si="10"/>
        <v>0</v>
      </c>
    </row>
    <row r="146" spans="1:16" x14ac:dyDescent="0.25">
      <c r="A146" s="588">
        <v>126</v>
      </c>
      <c r="B146" s="592" t="s">
        <v>302</v>
      </c>
      <c r="C146" s="597" t="s">
        <v>303</v>
      </c>
      <c r="D146" s="146">
        <v>0</v>
      </c>
      <c r="E146" s="146">
        <v>0</v>
      </c>
      <c r="F146" s="146">
        <v>0</v>
      </c>
      <c r="G146" s="146">
        <v>0</v>
      </c>
      <c r="H146" s="556">
        <f t="shared" si="8"/>
        <v>0</v>
      </c>
      <c r="I146" s="146">
        <v>0</v>
      </c>
      <c r="J146" s="556">
        <v>0</v>
      </c>
      <c r="K146" s="556">
        <v>0</v>
      </c>
      <c r="L146" s="556">
        <f t="shared" si="9"/>
        <v>0</v>
      </c>
      <c r="M146" s="556">
        <v>0</v>
      </c>
      <c r="N146" s="556">
        <v>0</v>
      </c>
      <c r="O146" s="556">
        <v>0</v>
      </c>
      <c r="P146" s="556">
        <f t="shared" si="10"/>
        <v>0</v>
      </c>
    </row>
    <row r="147" spans="1:16" x14ac:dyDescent="0.25">
      <c r="A147" s="588">
        <v>127</v>
      </c>
      <c r="B147" s="592" t="s">
        <v>304</v>
      </c>
      <c r="C147" s="590" t="s">
        <v>305</v>
      </c>
      <c r="D147" s="146">
        <v>0</v>
      </c>
      <c r="E147" s="146">
        <v>0</v>
      </c>
      <c r="F147" s="146">
        <v>0</v>
      </c>
      <c r="G147" s="146">
        <v>0</v>
      </c>
      <c r="H147" s="556">
        <f t="shared" si="8"/>
        <v>0</v>
      </c>
      <c r="I147" s="146">
        <v>0</v>
      </c>
      <c r="J147" s="556">
        <v>0</v>
      </c>
      <c r="K147" s="556">
        <v>0</v>
      </c>
      <c r="L147" s="556">
        <f t="shared" si="9"/>
        <v>0</v>
      </c>
      <c r="M147" s="556">
        <v>0</v>
      </c>
      <c r="N147" s="556">
        <v>0</v>
      </c>
      <c r="O147" s="556">
        <v>0</v>
      </c>
      <c r="P147" s="556">
        <f t="shared" si="10"/>
        <v>0</v>
      </c>
    </row>
    <row r="148" spans="1:16" x14ac:dyDescent="0.25">
      <c r="M148" s="31"/>
      <c r="N148" s="31"/>
    </row>
    <row r="150" spans="1:16" s="31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1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8">
    <mergeCell ref="A6:C6"/>
    <mergeCell ref="A9:C9"/>
    <mergeCell ref="A90:A93"/>
    <mergeCell ref="B90:B93"/>
    <mergeCell ref="A4:A5"/>
    <mergeCell ref="A34:A35"/>
    <mergeCell ref="A82:A83"/>
    <mergeCell ref="A85:A86"/>
    <mergeCell ref="A72:A74"/>
    <mergeCell ref="A75:A78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Normal="100" workbookViewId="0">
      <pane xSplit="3" ySplit="9" topLeftCell="E126" activePane="bottomRight" state="frozen"/>
      <selection pane="topRight" activeCell="D1" sqref="D1"/>
      <selection pane="bottomLeft" activeCell="A9" sqref="A9"/>
      <selection pane="bottomRight" activeCell="H83" sqref="H83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.285156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18" t="s">
        <v>547</v>
      </c>
      <c r="B2" s="1118"/>
      <c r="C2" s="1118"/>
      <c r="D2" s="1118"/>
      <c r="E2" s="1118"/>
      <c r="F2" s="1118"/>
      <c r="G2" s="1118"/>
      <c r="H2" s="1118"/>
    </row>
    <row r="3" spans="1:8" x14ac:dyDescent="0.25">
      <c r="C3" s="6"/>
      <c r="E3" s="31"/>
    </row>
    <row r="4" spans="1:8" s="10" customFormat="1" ht="12" customHeight="1" x14ac:dyDescent="0.25">
      <c r="A4" s="1122" t="s">
        <v>0</v>
      </c>
      <c r="B4" s="1122" t="s">
        <v>1</v>
      </c>
      <c r="C4" s="1127" t="s">
        <v>2</v>
      </c>
      <c r="D4" s="1119" t="s">
        <v>505</v>
      </c>
      <c r="E4" s="1120"/>
      <c r="F4" s="1120"/>
      <c r="G4" s="1120"/>
      <c r="H4" s="1121"/>
    </row>
    <row r="5" spans="1:8" ht="44.25" customHeight="1" x14ac:dyDescent="0.25">
      <c r="A5" s="1129"/>
      <c r="B5" s="1129"/>
      <c r="C5" s="1128"/>
      <c r="D5" s="167" t="s">
        <v>506</v>
      </c>
      <c r="E5" s="167" t="s">
        <v>549</v>
      </c>
      <c r="F5" s="167" t="s">
        <v>507</v>
      </c>
      <c r="G5" s="167" t="s">
        <v>550</v>
      </c>
      <c r="H5" s="168" t="s">
        <v>13</v>
      </c>
    </row>
    <row r="6" spans="1:8" x14ac:dyDescent="0.25">
      <c r="A6" s="1131" t="s">
        <v>13</v>
      </c>
      <c r="B6" s="1131"/>
      <c r="C6" s="1131"/>
      <c r="D6" s="170">
        <f>D7+D9+D8</f>
        <v>252754</v>
      </c>
      <c r="E6" s="170">
        <f t="shared" ref="E6:H6" si="0">E7+E9+E8</f>
        <v>125327</v>
      </c>
      <c r="F6" s="170">
        <f t="shared" si="0"/>
        <v>84519</v>
      </c>
      <c r="G6" s="170">
        <f t="shared" si="0"/>
        <v>6961</v>
      </c>
      <c r="H6" s="170">
        <f t="shared" si="0"/>
        <v>469561</v>
      </c>
    </row>
    <row r="7" spans="1:8" x14ac:dyDescent="0.25">
      <c r="A7" s="15"/>
      <c r="B7" s="15"/>
      <c r="C7" s="16" t="s">
        <v>14</v>
      </c>
      <c r="D7" s="146"/>
      <c r="E7" s="146"/>
      <c r="F7" s="146"/>
      <c r="G7" s="146">
        <v>42</v>
      </c>
      <c r="H7" s="146">
        <f>E7+F7+G7+D7</f>
        <v>42</v>
      </c>
    </row>
    <row r="8" spans="1:8" x14ac:dyDescent="0.25">
      <c r="A8" s="15"/>
      <c r="B8" s="15"/>
      <c r="C8" s="16" t="s">
        <v>545</v>
      </c>
      <c r="D8" s="146"/>
      <c r="E8" s="146"/>
      <c r="F8" s="146"/>
      <c r="G8" s="146"/>
      <c r="H8" s="146">
        <f>E8+F8+G8+D8</f>
        <v>0</v>
      </c>
    </row>
    <row r="9" spans="1:8" s="10" customFormat="1" x14ac:dyDescent="0.25">
      <c r="A9" s="1131" t="s">
        <v>15</v>
      </c>
      <c r="B9" s="1131"/>
      <c r="C9" s="1131"/>
      <c r="D9" s="170">
        <f>SUM(D10:D147)-D35-D73-D74-D76-D77-D78-D83-D86-D90</f>
        <v>252754</v>
      </c>
      <c r="E9" s="170">
        <f t="shared" ref="E9:H9" si="1">SUM(E10:E147)-E35-E73-E74-E76-E77-E78-E83-E86-E90</f>
        <v>125327</v>
      </c>
      <c r="F9" s="170">
        <f t="shared" si="1"/>
        <v>84519</v>
      </c>
      <c r="G9" s="170">
        <f t="shared" si="1"/>
        <v>6919</v>
      </c>
      <c r="H9" s="170">
        <f t="shared" si="1"/>
        <v>469519</v>
      </c>
    </row>
    <row r="10" spans="1:8" s="19" customFormat="1" x14ac:dyDescent="0.25">
      <c r="A10" s="145">
        <v>1</v>
      </c>
      <c r="B10" s="48" t="s">
        <v>54</v>
      </c>
      <c r="C10" s="49" t="s">
        <v>55</v>
      </c>
      <c r="D10" s="556">
        <v>1018</v>
      </c>
      <c r="E10" s="556">
        <v>538</v>
      </c>
      <c r="F10" s="556">
        <v>365</v>
      </c>
      <c r="G10" s="556">
        <v>0</v>
      </c>
      <c r="H10" s="556">
        <f t="shared" ref="H10:H71" si="2">D10+E10+F10+G10</f>
        <v>1921</v>
      </c>
    </row>
    <row r="11" spans="1:8" s="19" customFormat="1" x14ac:dyDescent="0.25">
      <c r="A11" s="145">
        <v>2</v>
      </c>
      <c r="B11" s="51" t="s">
        <v>56</v>
      </c>
      <c r="C11" s="49" t="s">
        <v>57</v>
      </c>
      <c r="D11" s="556">
        <v>1020</v>
      </c>
      <c r="E11" s="556">
        <v>557</v>
      </c>
      <c r="F11" s="556">
        <v>378</v>
      </c>
      <c r="G11" s="556">
        <v>0</v>
      </c>
      <c r="H11" s="556">
        <f t="shared" si="2"/>
        <v>1955</v>
      </c>
    </row>
    <row r="12" spans="1:8" s="10" customFormat="1" x14ac:dyDescent="0.25">
      <c r="A12" s="145">
        <v>3</v>
      </c>
      <c r="B12" s="166" t="s">
        <v>16</v>
      </c>
      <c r="C12" s="49" t="s">
        <v>17</v>
      </c>
      <c r="D12" s="556">
        <v>3524</v>
      </c>
      <c r="E12" s="556">
        <v>1689</v>
      </c>
      <c r="F12" s="556">
        <v>1555</v>
      </c>
      <c r="G12" s="556">
        <v>0</v>
      </c>
      <c r="H12" s="556">
        <f t="shared" si="2"/>
        <v>6768</v>
      </c>
    </row>
    <row r="13" spans="1:8" s="26" customFormat="1" x14ac:dyDescent="0.25">
      <c r="A13" s="145">
        <v>4</v>
      </c>
      <c r="B13" s="48" t="s">
        <v>58</v>
      </c>
      <c r="C13" s="49" t="s">
        <v>59</v>
      </c>
      <c r="D13" s="556">
        <v>851</v>
      </c>
      <c r="E13" s="556">
        <v>599</v>
      </c>
      <c r="F13" s="556">
        <v>0</v>
      </c>
      <c r="G13" s="556">
        <v>0</v>
      </c>
      <c r="H13" s="556">
        <f t="shared" si="2"/>
        <v>1450</v>
      </c>
    </row>
    <row r="14" spans="1:8" s="26" customFormat="1" x14ac:dyDescent="0.25">
      <c r="A14" s="145">
        <v>5</v>
      </c>
      <c r="B14" s="48" t="s">
        <v>60</v>
      </c>
      <c r="C14" s="49" t="s">
        <v>61</v>
      </c>
      <c r="D14" s="556">
        <v>1220</v>
      </c>
      <c r="E14" s="556">
        <v>650</v>
      </c>
      <c r="F14" s="556">
        <v>442</v>
      </c>
      <c r="G14" s="556">
        <v>0</v>
      </c>
      <c r="H14" s="556">
        <f t="shared" si="2"/>
        <v>2312</v>
      </c>
    </row>
    <row r="15" spans="1:8" s="148" customFormat="1" x14ac:dyDescent="0.25">
      <c r="A15" s="145">
        <v>6</v>
      </c>
      <c r="B15" s="166" t="s">
        <v>18</v>
      </c>
      <c r="C15" s="49" t="s">
        <v>19</v>
      </c>
      <c r="D15" s="556">
        <v>5779</v>
      </c>
      <c r="E15" s="556">
        <v>2327</v>
      </c>
      <c r="F15" s="556">
        <v>1581</v>
      </c>
      <c r="G15" s="556">
        <v>243</v>
      </c>
      <c r="H15" s="556">
        <f t="shared" si="2"/>
        <v>9930</v>
      </c>
    </row>
    <row r="16" spans="1:8" s="26" customFormat="1" x14ac:dyDescent="0.25">
      <c r="A16" s="145">
        <v>7</v>
      </c>
      <c r="B16" s="48" t="s">
        <v>62</v>
      </c>
      <c r="C16" s="49" t="s">
        <v>63</v>
      </c>
      <c r="D16" s="556">
        <v>2312</v>
      </c>
      <c r="E16" s="556">
        <v>1706</v>
      </c>
      <c r="F16" s="556">
        <v>1159</v>
      </c>
      <c r="G16" s="556">
        <v>0</v>
      </c>
      <c r="H16" s="556">
        <f t="shared" si="2"/>
        <v>5177</v>
      </c>
    </row>
    <row r="17" spans="1:8" s="26" customFormat="1" x14ac:dyDescent="0.25">
      <c r="A17" s="145">
        <v>8</v>
      </c>
      <c r="B17" s="166" t="s">
        <v>64</v>
      </c>
      <c r="C17" s="49" t="s">
        <v>65</v>
      </c>
      <c r="D17" s="556">
        <v>0</v>
      </c>
      <c r="E17" s="556">
        <v>689</v>
      </c>
      <c r="F17" s="556">
        <v>468</v>
      </c>
      <c r="G17" s="556">
        <v>0</v>
      </c>
      <c r="H17" s="556">
        <f t="shared" si="2"/>
        <v>1157</v>
      </c>
    </row>
    <row r="18" spans="1:8" s="148" customFormat="1" x14ac:dyDescent="0.25">
      <c r="A18" s="145">
        <v>9</v>
      </c>
      <c r="B18" s="166" t="s">
        <v>66</v>
      </c>
      <c r="C18" s="49" t="s">
        <v>67</v>
      </c>
      <c r="D18" s="556">
        <v>1134</v>
      </c>
      <c r="E18" s="556">
        <v>617</v>
      </c>
      <c r="F18" s="556">
        <v>419</v>
      </c>
      <c r="G18" s="556">
        <v>0</v>
      </c>
      <c r="H18" s="556">
        <f t="shared" si="2"/>
        <v>2170</v>
      </c>
    </row>
    <row r="19" spans="1:8" s="26" customFormat="1" x14ac:dyDescent="0.25">
      <c r="A19" s="145">
        <v>10</v>
      </c>
      <c r="B19" s="166" t="s">
        <v>68</v>
      </c>
      <c r="C19" s="49" t="s">
        <v>69</v>
      </c>
      <c r="D19" s="556">
        <v>1542</v>
      </c>
      <c r="E19" s="556">
        <v>862</v>
      </c>
      <c r="F19" s="556">
        <v>586</v>
      </c>
      <c r="G19" s="556">
        <v>0</v>
      </c>
      <c r="H19" s="556">
        <f t="shared" si="2"/>
        <v>2990</v>
      </c>
    </row>
    <row r="20" spans="1:8" s="26" customFormat="1" x14ac:dyDescent="0.25">
      <c r="A20" s="145">
        <v>11</v>
      </c>
      <c r="B20" s="166" t="s">
        <v>70</v>
      </c>
      <c r="C20" s="49" t="s">
        <v>71</v>
      </c>
      <c r="D20" s="556">
        <v>1159</v>
      </c>
      <c r="E20" s="556">
        <v>613</v>
      </c>
      <c r="F20" s="556">
        <v>417</v>
      </c>
      <c r="G20" s="556">
        <v>0</v>
      </c>
      <c r="H20" s="556">
        <f t="shared" si="2"/>
        <v>2189</v>
      </c>
    </row>
    <row r="21" spans="1:8" s="26" customFormat="1" x14ac:dyDescent="0.25">
      <c r="A21" s="145">
        <v>12</v>
      </c>
      <c r="B21" s="166" t="s">
        <v>72</v>
      </c>
      <c r="C21" s="49" t="s">
        <v>73</v>
      </c>
      <c r="D21" s="556">
        <v>1000</v>
      </c>
      <c r="E21" s="556">
        <v>0</v>
      </c>
      <c r="F21" s="556">
        <v>0</v>
      </c>
      <c r="G21" s="556">
        <v>0</v>
      </c>
      <c r="H21" s="556">
        <f t="shared" si="2"/>
        <v>1000</v>
      </c>
    </row>
    <row r="22" spans="1:8" s="26" customFormat="1" x14ac:dyDescent="0.25">
      <c r="A22" s="145">
        <v>13</v>
      </c>
      <c r="B22" s="166" t="s">
        <v>74</v>
      </c>
      <c r="C22" s="49" t="s">
        <v>75</v>
      </c>
      <c r="D22" s="556">
        <v>5677</v>
      </c>
      <c r="E22" s="556">
        <v>3597</v>
      </c>
      <c r="F22" s="556">
        <v>2444</v>
      </c>
      <c r="G22" s="556">
        <v>0</v>
      </c>
      <c r="H22" s="556">
        <f t="shared" si="2"/>
        <v>11718</v>
      </c>
    </row>
    <row r="23" spans="1:8" s="26" customFormat="1" x14ac:dyDescent="0.25">
      <c r="A23" s="145">
        <v>14</v>
      </c>
      <c r="B23" s="166" t="s">
        <v>76</v>
      </c>
      <c r="C23" s="49" t="s">
        <v>77</v>
      </c>
      <c r="D23" s="556">
        <v>1121</v>
      </c>
      <c r="E23" s="556">
        <v>0</v>
      </c>
      <c r="F23" s="556">
        <v>0</v>
      </c>
      <c r="G23" s="556">
        <v>0</v>
      </c>
      <c r="H23" s="556">
        <f t="shared" si="2"/>
        <v>1121</v>
      </c>
    </row>
    <row r="24" spans="1:8" s="26" customFormat="1" x14ac:dyDescent="0.25">
      <c r="A24" s="145">
        <v>15</v>
      </c>
      <c r="B24" s="166" t="s">
        <v>78</v>
      </c>
      <c r="C24" s="49" t="s">
        <v>79</v>
      </c>
      <c r="D24" s="556">
        <v>2368</v>
      </c>
      <c r="E24" s="556">
        <v>1138</v>
      </c>
      <c r="F24" s="556">
        <v>773</v>
      </c>
      <c r="G24" s="556">
        <v>0</v>
      </c>
      <c r="H24" s="556">
        <f t="shared" si="2"/>
        <v>4279</v>
      </c>
    </row>
    <row r="25" spans="1:8" s="26" customFormat="1" x14ac:dyDescent="0.25">
      <c r="A25" s="145">
        <v>16</v>
      </c>
      <c r="B25" s="166" t="s">
        <v>80</v>
      </c>
      <c r="C25" s="49" t="s">
        <v>81</v>
      </c>
      <c r="D25" s="556">
        <v>2996</v>
      </c>
      <c r="E25" s="556">
        <v>1488</v>
      </c>
      <c r="F25" s="556">
        <v>1011</v>
      </c>
      <c r="G25" s="556">
        <v>0</v>
      </c>
      <c r="H25" s="556">
        <f t="shared" si="2"/>
        <v>5495</v>
      </c>
    </row>
    <row r="26" spans="1:8" s="26" customFormat="1" x14ac:dyDescent="0.25">
      <c r="A26" s="145">
        <v>17</v>
      </c>
      <c r="B26" s="166" t="s">
        <v>20</v>
      </c>
      <c r="C26" s="49" t="s">
        <v>21</v>
      </c>
      <c r="D26" s="556">
        <v>5889</v>
      </c>
      <c r="E26" s="556">
        <v>3307</v>
      </c>
      <c r="F26" s="556">
        <v>2248</v>
      </c>
      <c r="G26" s="556">
        <v>148</v>
      </c>
      <c r="H26" s="556">
        <f t="shared" si="2"/>
        <v>11592</v>
      </c>
    </row>
    <row r="27" spans="1:8" s="26" customFormat="1" x14ac:dyDescent="0.25">
      <c r="A27" s="145">
        <v>18</v>
      </c>
      <c r="B27" s="48" t="s">
        <v>82</v>
      </c>
      <c r="C27" s="49" t="s">
        <v>83</v>
      </c>
      <c r="D27" s="556">
        <v>658</v>
      </c>
      <c r="E27" s="556">
        <v>0</v>
      </c>
      <c r="F27" s="556">
        <v>0</v>
      </c>
      <c r="G27" s="556">
        <v>0</v>
      </c>
      <c r="H27" s="556">
        <f t="shared" si="2"/>
        <v>658</v>
      </c>
    </row>
    <row r="28" spans="1:8" s="26" customFormat="1" x14ac:dyDescent="0.25">
      <c r="A28" s="145">
        <v>19</v>
      </c>
      <c r="B28" s="48" t="s">
        <v>84</v>
      </c>
      <c r="C28" s="49" t="s">
        <v>85</v>
      </c>
      <c r="D28" s="556">
        <v>0</v>
      </c>
      <c r="E28" s="556">
        <v>0</v>
      </c>
      <c r="F28" s="556">
        <v>0</v>
      </c>
      <c r="G28" s="556">
        <v>0</v>
      </c>
      <c r="H28" s="556">
        <f t="shared" si="2"/>
        <v>0</v>
      </c>
    </row>
    <row r="29" spans="1:8" s="148" customFormat="1" x14ac:dyDescent="0.25">
      <c r="A29" s="145">
        <v>20</v>
      </c>
      <c r="B29" s="48" t="s">
        <v>86</v>
      </c>
      <c r="C29" s="49" t="s">
        <v>87</v>
      </c>
      <c r="D29" s="556">
        <v>3947</v>
      </c>
      <c r="E29" s="556">
        <v>2025</v>
      </c>
      <c r="F29" s="556">
        <v>1376</v>
      </c>
      <c r="G29" s="556">
        <v>106</v>
      </c>
      <c r="H29" s="556">
        <f t="shared" si="2"/>
        <v>7454</v>
      </c>
    </row>
    <row r="30" spans="1:8" s="26" customFormat="1" x14ac:dyDescent="0.25">
      <c r="A30" s="145">
        <v>21</v>
      </c>
      <c r="B30" s="48" t="s">
        <v>22</v>
      </c>
      <c r="C30" s="49" t="s">
        <v>23</v>
      </c>
      <c r="D30" s="556">
        <v>4596</v>
      </c>
      <c r="E30" s="556">
        <v>2379</v>
      </c>
      <c r="F30" s="556">
        <v>1958</v>
      </c>
      <c r="G30" s="556">
        <v>228</v>
      </c>
      <c r="H30" s="556">
        <f t="shared" si="2"/>
        <v>9161</v>
      </c>
    </row>
    <row r="31" spans="1:8" s="26" customFormat="1" x14ac:dyDescent="0.25">
      <c r="A31" s="145">
        <v>22</v>
      </c>
      <c r="B31" s="166" t="s">
        <v>24</v>
      </c>
      <c r="C31" s="49" t="s">
        <v>25</v>
      </c>
      <c r="D31" s="556">
        <v>779</v>
      </c>
      <c r="E31" s="556">
        <v>420</v>
      </c>
      <c r="F31" s="556">
        <v>285</v>
      </c>
      <c r="G31" s="556">
        <v>0</v>
      </c>
      <c r="H31" s="556">
        <f t="shared" si="2"/>
        <v>1484</v>
      </c>
    </row>
    <row r="32" spans="1:8" x14ac:dyDescent="0.25">
      <c r="A32" s="145">
        <v>23</v>
      </c>
      <c r="B32" s="166" t="s">
        <v>88</v>
      </c>
      <c r="C32" s="49" t="s">
        <v>89</v>
      </c>
      <c r="D32" s="556">
        <v>0</v>
      </c>
      <c r="E32" s="556">
        <v>0</v>
      </c>
      <c r="F32" s="556">
        <v>0</v>
      </c>
      <c r="G32" s="556">
        <v>0</v>
      </c>
      <c r="H32" s="556">
        <f t="shared" si="2"/>
        <v>0</v>
      </c>
    </row>
    <row r="33" spans="1:8" s="148" customFormat="1" ht="12.75" customHeight="1" x14ac:dyDescent="0.25">
      <c r="A33" s="588">
        <v>24</v>
      </c>
      <c r="B33" s="604" t="s">
        <v>90</v>
      </c>
      <c r="C33" s="30" t="s">
        <v>91</v>
      </c>
      <c r="D33" s="556">
        <v>0</v>
      </c>
      <c r="E33" s="556">
        <v>0</v>
      </c>
      <c r="F33" s="556">
        <v>0</v>
      </c>
      <c r="G33" s="556">
        <v>0</v>
      </c>
      <c r="H33" s="556">
        <f t="shared" si="2"/>
        <v>0</v>
      </c>
    </row>
    <row r="34" spans="1:8" s="148" customFormat="1" ht="24" x14ac:dyDescent="0.25">
      <c r="A34" s="1132">
        <v>25</v>
      </c>
      <c r="B34" s="70" t="s">
        <v>92</v>
      </c>
      <c r="C34" s="144" t="s">
        <v>784</v>
      </c>
      <c r="D34" s="556">
        <v>19216</v>
      </c>
      <c r="E34" s="556">
        <v>9446</v>
      </c>
      <c r="F34" s="556">
        <v>6597</v>
      </c>
      <c r="G34" s="556">
        <v>564</v>
      </c>
      <c r="H34" s="556">
        <f t="shared" si="2"/>
        <v>35823</v>
      </c>
    </row>
    <row r="35" spans="1:8" s="26" customFormat="1" x14ac:dyDescent="0.25">
      <c r="A35" s="1134"/>
      <c r="B35" s="604" t="s">
        <v>94</v>
      </c>
      <c r="C35" s="30" t="s">
        <v>95</v>
      </c>
      <c r="D35" s="556">
        <v>1928</v>
      </c>
      <c r="E35" s="556">
        <v>0</v>
      </c>
      <c r="F35" s="556">
        <v>0</v>
      </c>
      <c r="G35" s="556">
        <v>0</v>
      </c>
      <c r="H35" s="556">
        <f t="shared" si="2"/>
        <v>1928</v>
      </c>
    </row>
    <row r="36" spans="1:8" s="26" customFormat="1" x14ac:dyDescent="0.25">
      <c r="A36" s="588">
        <v>26</v>
      </c>
      <c r="B36" s="71" t="s">
        <v>96</v>
      </c>
      <c r="C36" s="30" t="s">
        <v>97</v>
      </c>
      <c r="D36" s="556">
        <v>0</v>
      </c>
      <c r="E36" s="556">
        <v>0</v>
      </c>
      <c r="F36" s="556">
        <v>0</v>
      </c>
      <c r="G36" s="556">
        <v>0</v>
      </c>
      <c r="H36" s="556">
        <f t="shared" si="2"/>
        <v>0</v>
      </c>
    </row>
    <row r="37" spans="1:8" s="26" customFormat="1" x14ac:dyDescent="0.25">
      <c r="A37" s="588">
        <v>27</v>
      </c>
      <c r="B37" s="71" t="s">
        <v>26</v>
      </c>
      <c r="C37" s="30" t="s">
        <v>27</v>
      </c>
      <c r="D37" s="556">
        <v>4638</v>
      </c>
      <c r="E37" s="556">
        <v>2300</v>
      </c>
      <c r="F37" s="556">
        <v>1515</v>
      </c>
      <c r="G37" s="556">
        <v>128</v>
      </c>
      <c r="H37" s="556">
        <f t="shared" si="2"/>
        <v>8581</v>
      </c>
    </row>
    <row r="38" spans="1:8" s="26" customFormat="1" x14ac:dyDescent="0.25">
      <c r="A38" s="588">
        <v>28</v>
      </c>
      <c r="B38" s="70" t="s">
        <v>98</v>
      </c>
      <c r="C38" s="30" t="s">
        <v>99</v>
      </c>
      <c r="D38" s="556">
        <v>6937</v>
      </c>
      <c r="E38" s="556">
        <v>3607</v>
      </c>
      <c r="F38" s="556">
        <v>2451</v>
      </c>
      <c r="G38" s="556">
        <v>318</v>
      </c>
      <c r="H38" s="556">
        <f t="shared" si="2"/>
        <v>13313</v>
      </c>
    </row>
    <row r="39" spans="1:8" s="26" customFormat="1" x14ac:dyDescent="0.25">
      <c r="A39" s="588">
        <v>29</v>
      </c>
      <c r="B39" s="71" t="s">
        <v>100</v>
      </c>
      <c r="C39" s="30" t="s">
        <v>101</v>
      </c>
      <c r="D39" s="556">
        <v>1327</v>
      </c>
      <c r="E39" s="556">
        <v>692</v>
      </c>
      <c r="F39" s="556">
        <v>470</v>
      </c>
      <c r="G39" s="556">
        <v>0</v>
      </c>
      <c r="H39" s="556">
        <f t="shared" si="2"/>
        <v>2489</v>
      </c>
    </row>
    <row r="40" spans="1:8" s="148" customFormat="1" x14ac:dyDescent="0.25">
      <c r="A40" s="588">
        <v>30</v>
      </c>
      <c r="B40" s="604" t="s">
        <v>102</v>
      </c>
      <c r="C40" s="30" t="s">
        <v>103</v>
      </c>
      <c r="D40" s="556">
        <v>4759</v>
      </c>
      <c r="E40" s="556">
        <v>2493</v>
      </c>
      <c r="F40" s="556">
        <v>1194</v>
      </c>
      <c r="G40" s="556">
        <v>0</v>
      </c>
      <c r="H40" s="556">
        <f t="shared" si="2"/>
        <v>8446</v>
      </c>
    </row>
    <row r="41" spans="1:8" x14ac:dyDescent="0.25">
      <c r="A41" s="588">
        <v>31</v>
      </c>
      <c r="B41" s="71" t="s">
        <v>104</v>
      </c>
      <c r="C41" s="30" t="s">
        <v>105</v>
      </c>
      <c r="D41" s="556">
        <v>1763</v>
      </c>
      <c r="E41" s="556">
        <v>916</v>
      </c>
      <c r="F41" s="556">
        <v>623</v>
      </c>
      <c r="G41" s="556">
        <v>0</v>
      </c>
      <c r="H41" s="556">
        <f t="shared" si="2"/>
        <v>3302</v>
      </c>
    </row>
    <row r="42" spans="1:8" s="26" customFormat="1" x14ac:dyDescent="0.25">
      <c r="A42" s="588">
        <v>32</v>
      </c>
      <c r="B42" s="70" t="s">
        <v>106</v>
      </c>
      <c r="C42" s="30" t="s">
        <v>107</v>
      </c>
      <c r="D42" s="556">
        <v>4626</v>
      </c>
      <c r="E42" s="556">
        <v>2399</v>
      </c>
      <c r="F42" s="556">
        <v>1630</v>
      </c>
      <c r="G42" s="556">
        <v>0</v>
      </c>
      <c r="H42" s="556">
        <f t="shared" si="2"/>
        <v>8655</v>
      </c>
    </row>
    <row r="43" spans="1:8" s="26" customFormat="1" x14ac:dyDescent="0.25">
      <c r="A43" s="588">
        <v>33</v>
      </c>
      <c r="B43" s="589" t="s">
        <v>108</v>
      </c>
      <c r="C43" s="590" t="s">
        <v>109</v>
      </c>
      <c r="D43" s="556">
        <v>1558</v>
      </c>
      <c r="E43" s="556">
        <v>821</v>
      </c>
      <c r="F43" s="556">
        <v>558</v>
      </c>
      <c r="G43" s="556">
        <v>0</v>
      </c>
      <c r="H43" s="556">
        <f t="shared" si="2"/>
        <v>2937</v>
      </c>
    </row>
    <row r="44" spans="1:8" s="26" customFormat="1" x14ac:dyDescent="0.25">
      <c r="A44" s="588">
        <v>34</v>
      </c>
      <c r="B44" s="70" t="s">
        <v>110</v>
      </c>
      <c r="C44" s="30" t="s">
        <v>111</v>
      </c>
      <c r="D44" s="556">
        <v>375</v>
      </c>
      <c r="E44" s="556">
        <v>264</v>
      </c>
      <c r="F44" s="556">
        <v>0</v>
      </c>
      <c r="G44" s="556">
        <v>0</v>
      </c>
      <c r="H44" s="556">
        <f t="shared" si="2"/>
        <v>639</v>
      </c>
    </row>
    <row r="45" spans="1:8" x14ac:dyDescent="0.25">
      <c r="A45" s="588">
        <v>35</v>
      </c>
      <c r="B45" s="70" t="s">
        <v>112</v>
      </c>
      <c r="C45" s="30" t="s">
        <v>113</v>
      </c>
      <c r="D45" s="556">
        <v>1331</v>
      </c>
      <c r="E45" s="556">
        <v>936</v>
      </c>
      <c r="F45" s="556">
        <v>636</v>
      </c>
      <c r="G45" s="556">
        <v>0</v>
      </c>
      <c r="H45" s="556">
        <f t="shared" si="2"/>
        <v>2903</v>
      </c>
    </row>
    <row r="46" spans="1:8" s="26" customFormat="1" x14ac:dyDescent="0.25">
      <c r="A46" s="588">
        <v>36</v>
      </c>
      <c r="B46" s="604" t="s">
        <v>114</v>
      </c>
      <c r="C46" s="30" t="s">
        <v>115</v>
      </c>
      <c r="D46" s="556">
        <v>673</v>
      </c>
      <c r="E46" s="556">
        <v>428</v>
      </c>
      <c r="F46" s="556">
        <v>290</v>
      </c>
      <c r="G46" s="556">
        <v>0</v>
      </c>
      <c r="H46" s="556">
        <f t="shared" si="2"/>
        <v>1391</v>
      </c>
    </row>
    <row r="47" spans="1:8" s="26" customFormat="1" x14ac:dyDescent="0.25">
      <c r="A47" s="588">
        <v>37</v>
      </c>
      <c r="B47" s="71" t="s">
        <v>116</v>
      </c>
      <c r="C47" s="30" t="s">
        <v>117</v>
      </c>
      <c r="D47" s="556">
        <v>876</v>
      </c>
      <c r="E47" s="556">
        <v>616</v>
      </c>
      <c r="F47" s="556">
        <v>319</v>
      </c>
      <c r="G47" s="556">
        <v>0</v>
      </c>
      <c r="H47" s="556">
        <f t="shared" si="2"/>
        <v>1811</v>
      </c>
    </row>
    <row r="48" spans="1:8" s="26" customFormat="1" x14ac:dyDescent="0.25">
      <c r="A48" s="588">
        <v>38</v>
      </c>
      <c r="B48" s="604" t="s">
        <v>28</v>
      </c>
      <c r="C48" s="30" t="s">
        <v>29</v>
      </c>
      <c r="D48" s="556">
        <v>6287</v>
      </c>
      <c r="E48" s="556">
        <v>3186</v>
      </c>
      <c r="F48" s="556">
        <v>1926</v>
      </c>
      <c r="G48" s="556">
        <v>303</v>
      </c>
      <c r="H48" s="556">
        <f t="shared" si="2"/>
        <v>11702</v>
      </c>
    </row>
    <row r="49" spans="1:8" s="26" customFormat="1" x14ac:dyDescent="0.25">
      <c r="A49" s="588">
        <v>39</v>
      </c>
      <c r="B49" s="70" t="s">
        <v>118</v>
      </c>
      <c r="C49" s="30" t="s">
        <v>119</v>
      </c>
      <c r="D49" s="556">
        <v>1276</v>
      </c>
      <c r="E49" s="556">
        <v>743</v>
      </c>
      <c r="F49" s="556">
        <v>505</v>
      </c>
      <c r="G49" s="556">
        <v>0</v>
      </c>
      <c r="H49" s="556">
        <f t="shared" si="2"/>
        <v>2524</v>
      </c>
    </row>
    <row r="50" spans="1:8" s="26" customFormat="1" x14ac:dyDescent="0.25">
      <c r="A50" s="588">
        <v>40</v>
      </c>
      <c r="B50" s="70" t="s">
        <v>120</v>
      </c>
      <c r="C50" s="30" t="s">
        <v>121</v>
      </c>
      <c r="D50" s="556">
        <v>5046</v>
      </c>
      <c r="E50" s="556">
        <v>2600</v>
      </c>
      <c r="F50" s="556">
        <v>1766</v>
      </c>
      <c r="G50" s="556">
        <v>0</v>
      </c>
      <c r="H50" s="556">
        <f t="shared" si="2"/>
        <v>9412</v>
      </c>
    </row>
    <row r="51" spans="1:8" s="148" customFormat="1" x14ac:dyDescent="0.25">
      <c r="A51" s="588">
        <v>41</v>
      </c>
      <c r="B51" s="604" t="s">
        <v>122</v>
      </c>
      <c r="C51" s="30" t="s">
        <v>123</v>
      </c>
      <c r="D51" s="556">
        <v>1044</v>
      </c>
      <c r="E51" s="556">
        <v>568</v>
      </c>
      <c r="F51" s="556">
        <v>386</v>
      </c>
      <c r="G51" s="556">
        <v>0</v>
      </c>
      <c r="H51" s="556">
        <f t="shared" si="2"/>
        <v>1998</v>
      </c>
    </row>
    <row r="52" spans="1:8" s="26" customFormat="1" x14ac:dyDescent="0.25">
      <c r="A52" s="588">
        <v>42</v>
      </c>
      <c r="B52" s="71" t="s">
        <v>124</v>
      </c>
      <c r="C52" s="30" t="s">
        <v>125</v>
      </c>
      <c r="D52" s="556">
        <v>1404</v>
      </c>
      <c r="E52" s="556">
        <v>776</v>
      </c>
      <c r="F52" s="556">
        <v>527</v>
      </c>
      <c r="G52" s="556">
        <v>0</v>
      </c>
      <c r="H52" s="556">
        <f t="shared" si="2"/>
        <v>2707</v>
      </c>
    </row>
    <row r="53" spans="1:8" s="26" customFormat="1" x14ac:dyDescent="0.25">
      <c r="A53" s="588">
        <v>43</v>
      </c>
      <c r="B53" s="604" t="s">
        <v>126</v>
      </c>
      <c r="C53" s="30" t="s">
        <v>127</v>
      </c>
      <c r="D53" s="556">
        <v>1670</v>
      </c>
      <c r="E53" s="556">
        <v>910</v>
      </c>
      <c r="F53" s="556">
        <v>618</v>
      </c>
      <c r="G53" s="556">
        <v>0</v>
      </c>
      <c r="H53" s="556">
        <f t="shared" si="2"/>
        <v>3198</v>
      </c>
    </row>
    <row r="54" spans="1:8" s="26" customFormat="1" x14ac:dyDescent="0.25">
      <c r="A54" s="588">
        <v>44</v>
      </c>
      <c r="B54" s="71" t="s">
        <v>128</v>
      </c>
      <c r="C54" s="30" t="s">
        <v>129</v>
      </c>
      <c r="D54" s="556">
        <v>2031</v>
      </c>
      <c r="E54" s="556">
        <v>1075</v>
      </c>
      <c r="F54" s="556">
        <v>730</v>
      </c>
      <c r="G54" s="556">
        <v>0</v>
      </c>
      <c r="H54" s="556">
        <f t="shared" si="2"/>
        <v>3836</v>
      </c>
    </row>
    <row r="55" spans="1:8" s="26" customFormat="1" x14ac:dyDescent="0.25">
      <c r="A55" s="588">
        <v>45</v>
      </c>
      <c r="B55" s="604" t="s">
        <v>130</v>
      </c>
      <c r="C55" s="30" t="s">
        <v>131</v>
      </c>
      <c r="D55" s="556">
        <v>544</v>
      </c>
      <c r="E55" s="556">
        <v>0</v>
      </c>
      <c r="F55" s="556">
        <v>260</v>
      </c>
      <c r="G55" s="556">
        <v>0</v>
      </c>
      <c r="H55" s="556">
        <f t="shared" si="2"/>
        <v>804</v>
      </c>
    </row>
    <row r="56" spans="1:8" s="26" customFormat="1" x14ac:dyDescent="0.25">
      <c r="A56" s="588">
        <v>46</v>
      </c>
      <c r="B56" s="71" t="s">
        <v>132</v>
      </c>
      <c r="C56" s="30" t="s">
        <v>133</v>
      </c>
      <c r="D56" s="556">
        <v>995</v>
      </c>
      <c r="E56" s="556">
        <v>700</v>
      </c>
      <c r="F56" s="556">
        <v>476</v>
      </c>
      <c r="G56" s="556">
        <v>0</v>
      </c>
      <c r="H56" s="556">
        <f t="shared" si="2"/>
        <v>2171</v>
      </c>
    </row>
    <row r="57" spans="1:8" s="26" customFormat="1" x14ac:dyDescent="0.25">
      <c r="A57" s="588">
        <v>47</v>
      </c>
      <c r="B57" s="604" t="s">
        <v>134</v>
      </c>
      <c r="C57" s="30" t="s">
        <v>135</v>
      </c>
      <c r="D57" s="556">
        <v>2042</v>
      </c>
      <c r="E57" s="556">
        <v>1106</v>
      </c>
      <c r="F57" s="556">
        <v>752</v>
      </c>
      <c r="G57" s="556">
        <v>0</v>
      </c>
      <c r="H57" s="556">
        <f t="shared" si="2"/>
        <v>3900</v>
      </c>
    </row>
    <row r="58" spans="1:8" s="26" customFormat="1" x14ac:dyDescent="0.25">
      <c r="A58" s="588">
        <v>48</v>
      </c>
      <c r="B58" s="604" t="s">
        <v>136</v>
      </c>
      <c r="C58" s="30" t="s">
        <v>137</v>
      </c>
      <c r="D58" s="556">
        <v>7353</v>
      </c>
      <c r="E58" s="556">
        <v>3783</v>
      </c>
      <c r="F58" s="556">
        <v>2571</v>
      </c>
      <c r="G58" s="556">
        <v>247</v>
      </c>
      <c r="H58" s="556">
        <f t="shared" si="2"/>
        <v>13954</v>
      </c>
    </row>
    <row r="59" spans="1:8" s="26" customFormat="1" x14ac:dyDescent="0.25">
      <c r="A59" s="588">
        <v>49</v>
      </c>
      <c r="B59" s="604" t="s">
        <v>138</v>
      </c>
      <c r="C59" s="30" t="s">
        <v>139</v>
      </c>
      <c r="D59" s="556">
        <v>1469</v>
      </c>
      <c r="E59" s="556">
        <v>786</v>
      </c>
      <c r="F59" s="556">
        <v>534</v>
      </c>
      <c r="G59" s="556">
        <v>0</v>
      </c>
      <c r="H59" s="556">
        <f t="shared" si="2"/>
        <v>2789</v>
      </c>
    </row>
    <row r="60" spans="1:8" s="26" customFormat="1" x14ac:dyDescent="0.25">
      <c r="A60" s="588">
        <v>50</v>
      </c>
      <c r="B60" s="604" t="s">
        <v>140</v>
      </c>
      <c r="C60" s="30" t="s">
        <v>141</v>
      </c>
      <c r="D60" s="556">
        <v>1068</v>
      </c>
      <c r="E60" s="556">
        <v>584</v>
      </c>
      <c r="F60" s="556">
        <v>397</v>
      </c>
      <c r="G60" s="556">
        <v>0</v>
      </c>
      <c r="H60" s="556">
        <f t="shared" si="2"/>
        <v>2049</v>
      </c>
    </row>
    <row r="61" spans="1:8" s="26" customFormat="1" x14ac:dyDescent="0.25">
      <c r="A61" s="588">
        <v>51</v>
      </c>
      <c r="B61" s="71" t="s">
        <v>142</v>
      </c>
      <c r="C61" s="30" t="s">
        <v>143</v>
      </c>
      <c r="D61" s="556">
        <v>1281</v>
      </c>
      <c r="E61" s="556">
        <v>630</v>
      </c>
      <c r="F61" s="556">
        <v>478</v>
      </c>
      <c r="G61" s="556">
        <v>0</v>
      </c>
      <c r="H61" s="556">
        <f t="shared" si="2"/>
        <v>2389</v>
      </c>
    </row>
    <row r="62" spans="1:8" s="26" customFormat="1" x14ac:dyDescent="0.25">
      <c r="A62" s="588">
        <v>52</v>
      </c>
      <c r="B62" s="604" t="s">
        <v>144</v>
      </c>
      <c r="C62" s="30" t="s">
        <v>145</v>
      </c>
      <c r="D62" s="556">
        <v>0</v>
      </c>
      <c r="E62" s="556">
        <v>0</v>
      </c>
      <c r="F62" s="556">
        <v>0</v>
      </c>
      <c r="G62" s="556">
        <v>0</v>
      </c>
      <c r="H62" s="556">
        <f t="shared" si="2"/>
        <v>0</v>
      </c>
    </row>
    <row r="63" spans="1:8" s="26" customFormat="1" x14ac:dyDescent="0.25">
      <c r="A63" s="588">
        <v>53</v>
      </c>
      <c r="B63" s="604" t="s">
        <v>146</v>
      </c>
      <c r="C63" s="30" t="s">
        <v>147</v>
      </c>
      <c r="D63" s="556">
        <v>0</v>
      </c>
      <c r="E63" s="556">
        <v>0</v>
      </c>
      <c r="F63" s="556">
        <v>0</v>
      </c>
      <c r="G63" s="556">
        <v>0</v>
      </c>
      <c r="H63" s="556">
        <f t="shared" si="2"/>
        <v>0</v>
      </c>
    </row>
    <row r="64" spans="1:8" s="26" customFormat="1" x14ac:dyDescent="0.25">
      <c r="A64" s="588">
        <v>54</v>
      </c>
      <c r="B64" s="604" t="s">
        <v>148</v>
      </c>
      <c r="C64" s="30" t="s">
        <v>149</v>
      </c>
      <c r="D64" s="556">
        <v>3147</v>
      </c>
      <c r="E64" s="556">
        <v>0</v>
      </c>
      <c r="F64" s="556">
        <v>0</v>
      </c>
      <c r="G64" s="556">
        <v>0</v>
      </c>
      <c r="H64" s="556">
        <f t="shared" si="2"/>
        <v>3147</v>
      </c>
    </row>
    <row r="65" spans="1:8" s="26" customFormat="1" x14ac:dyDescent="0.25">
      <c r="A65" s="588">
        <v>55</v>
      </c>
      <c r="B65" s="71" t="s">
        <v>150</v>
      </c>
      <c r="C65" s="30" t="s">
        <v>151</v>
      </c>
      <c r="D65" s="556">
        <v>2836</v>
      </c>
      <c r="E65" s="556">
        <v>0</v>
      </c>
      <c r="F65" s="556">
        <v>0</v>
      </c>
      <c r="G65" s="556">
        <v>0</v>
      </c>
      <c r="H65" s="556">
        <f t="shared" si="2"/>
        <v>2836</v>
      </c>
    </row>
    <row r="66" spans="1:8" s="26" customFormat="1" x14ac:dyDescent="0.25">
      <c r="A66" s="588">
        <v>56</v>
      </c>
      <c r="B66" s="71" t="s">
        <v>154</v>
      </c>
      <c r="C66" s="30" t="s">
        <v>155</v>
      </c>
      <c r="D66" s="556">
        <v>4190</v>
      </c>
      <c r="E66" s="556">
        <v>0</v>
      </c>
      <c r="F66" s="556">
        <v>0</v>
      </c>
      <c r="G66" s="556">
        <v>0</v>
      </c>
      <c r="H66" s="556">
        <f t="shared" si="2"/>
        <v>4190</v>
      </c>
    </row>
    <row r="67" spans="1:8" s="26" customFormat="1" ht="24" x14ac:dyDescent="0.25">
      <c r="A67" s="588">
        <v>57</v>
      </c>
      <c r="B67" s="70" t="s">
        <v>158</v>
      </c>
      <c r="C67" s="30" t="s">
        <v>159</v>
      </c>
      <c r="D67" s="556">
        <v>0</v>
      </c>
      <c r="E67" s="556">
        <v>0</v>
      </c>
      <c r="F67" s="556">
        <v>0</v>
      </c>
      <c r="G67" s="556">
        <v>0</v>
      </c>
      <c r="H67" s="556">
        <f t="shared" si="2"/>
        <v>0</v>
      </c>
    </row>
    <row r="68" spans="1:8" s="26" customFormat="1" ht="24" x14ac:dyDescent="0.25">
      <c r="A68" s="588">
        <v>58</v>
      </c>
      <c r="B68" s="70" t="s">
        <v>160</v>
      </c>
      <c r="C68" s="30" t="s">
        <v>161</v>
      </c>
      <c r="D68" s="556">
        <v>0</v>
      </c>
      <c r="E68" s="556">
        <v>0</v>
      </c>
      <c r="F68" s="556">
        <v>0</v>
      </c>
      <c r="G68" s="556">
        <v>0</v>
      </c>
      <c r="H68" s="556">
        <f t="shared" si="2"/>
        <v>0</v>
      </c>
    </row>
    <row r="69" spans="1:8" s="26" customFormat="1" x14ac:dyDescent="0.25">
      <c r="A69" s="588">
        <v>59</v>
      </c>
      <c r="B69" s="71" t="s">
        <v>162</v>
      </c>
      <c r="C69" s="30" t="s">
        <v>163</v>
      </c>
      <c r="D69" s="556">
        <v>4744</v>
      </c>
      <c r="E69" s="556">
        <v>3336</v>
      </c>
      <c r="F69" s="556">
        <v>2267</v>
      </c>
      <c r="G69" s="556">
        <v>0</v>
      </c>
      <c r="H69" s="556">
        <f t="shared" si="2"/>
        <v>10347</v>
      </c>
    </row>
    <row r="70" spans="1:8" s="26" customFormat="1" x14ac:dyDescent="0.25">
      <c r="A70" s="588">
        <v>60</v>
      </c>
      <c r="B70" s="71" t="s">
        <v>164</v>
      </c>
      <c r="C70" s="30" t="s">
        <v>165</v>
      </c>
      <c r="D70" s="556">
        <v>2747</v>
      </c>
      <c r="E70" s="556">
        <v>1932</v>
      </c>
      <c r="F70" s="556">
        <v>1313</v>
      </c>
      <c r="G70" s="556">
        <v>0</v>
      </c>
      <c r="H70" s="556">
        <f t="shared" si="2"/>
        <v>5992</v>
      </c>
    </row>
    <row r="71" spans="1:8" s="26" customFormat="1" x14ac:dyDescent="0.25">
      <c r="A71" s="588">
        <v>61</v>
      </c>
      <c r="B71" s="71" t="s">
        <v>166</v>
      </c>
      <c r="C71" s="30" t="s">
        <v>167</v>
      </c>
      <c r="D71" s="556">
        <v>6307</v>
      </c>
      <c r="E71" s="556">
        <v>4435</v>
      </c>
      <c r="F71" s="556">
        <v>3014</v>
      </c>
      <c r="G71" s="556">
        <v>0</v>
      </c>
      <c r="H71" s="556">
        <f t="shared" si="2"/>
        <v>13756</v>
      </c>
    </row>
    <row r="72" spans="1:8" s="26" customFormat="1" ht="29.25" customHeight="1" x14ac:dyDescent="0.25">
      <c r="A72" s="1132">
        <v>62</v>
      </c>
      <c r="B72" s="70" t="s">
        <v>170</v>
      </c>
      <c r="C72" s="144" t="s">
        <v>785</v>
      </c>
      <c r="D72" s="556">
        <v>0</v>
      </c>
      <c r="E72" s="556">
        <v>0</v>
      </c>
      <c r="F72" s="556">
        <v>0</v>
      </c>
      <c r="G72" s="556">
        <v>0</v>
      </c>
      <c r="H72" s="556">
        <f t="shared" ref="H72:H137" si="3">D72+E72+F72+G72</f>
        <v>0</v>
      </c>
    </row>
    <row r="73" spans="1:8" s="26" customFormat="1" x14ac:dyDescent="0.25">
      <c r="A73" s="1133"/>
      <c r="B73" s="70" t="s">
        <v>168</v>
      </c>
      <c r="C73" s="30" t="s">
        <v>169</v>
      </c>
      <c r="D73" s="556">
        <v>0</v>
      </c>
      <c r="E73" s="556">
        <v>0</v>
      </c>
      <c r="F73" s="556">
        <v>0</v>
      </c>
      <c r="G73" s="556"/>
      <c r="H73" s="556"/>
    </row>
    <row r="74" spans="1:8" s="26" customFormat="1" x14ac:dyDescent="0.25">
      <c r="A74" s="1134"/>
      <c r="B74" s="70" t="s">
        <v>174</v>
      </c>
      <c r="C74" s="30" t="s">
        <v>175</v>
      </c>
      <c r="D74" s="556">
        <v>0</v>
      </c>
      <c r="E74" s="556">
        <v>0</v>
      </c>
      <c r="F74" s="556">
        <v>0</v>
      </c>
      <c r="G74" s="556"/>
      <c r="H74" s="556"/>
    </row>
    <row r="75" spans="1:8" s="26" customFormat="1" ht="27.75" customHeight="1" x14ac:dyDescent="0.25">
      <c r="A75" s="1132">
        <v>63</v>
      </c>
      <c r="B75" s="70" t="s">
        <v>176</v>
      </c>
      <c r="C75" s="144" t="s">
        <v>788</v>
      </c>
      <c r="D75" s="556">
        <v>0</v>
      </c>
      <c r="E75" s="556">
        <v>0</v>
      </c>
      <c r="F75" s="556">
        <v>0</v>
      </c>
      <c r="G75" s="556">
        <v>0</v>
      </c>
      <c r="H75" s="556">
        <f t="shared" si="3"/>
        <v>0</v>
      </c>
    </row>
    <row r="76" spans="1:8" s="26" customFormat="1" x14ac:dyDescent="0.25">
      <c r="A76" s="1133"/>
      <c r="B76" s="71" t="s">
        <v>172</v>
      </c>
      <c r="C76" s="30" t="s">
        <v>173</v>
      </c>
      <c r="D76" s="556">
        <v>0</v>
      </c>
      <c r="E76" s="556">
        <v>0</v>
      </c>
      <c r="F76" s="556">
        <v>0</v>
      </c>
      <c r="G76" s="556"/>
      <c r="H76" s="556"/>
    </row>
    <row r="77" spans="1:8" s="26" customFormat="1" x14ac:dyDescent="0.25">
      <c r="A77" s="1133"/>
      <c r="B77" s="70" t="s">
        <v>178</v>
      </c>
      <c r="C77" s="30" t="s">
        <v>179</v>
      </c>
      <c r="D77" s="556">
        <v>0</v>
      </c>
      <c r="E77" s="556">
        <v>0</v>
      </c>
      <c r="F77" s="556">
        <v>0</v>
      </c>
      <c r="G77" s="556">
        <v>0</v>
      </c>
      <c r="H77" s="556">
        <f t="shared" si="3"/>
        <v>0</v>
      </c>
    </row>
    <row r="78" spans="1:8" s="26" customFormat="1" x14ac:dyDescent="0.25">
      <c r="A78" s="1134"/>
      <c r="B78" s="70" t="s">
        <v>180</v>
      </c>
      <c r="C78" s="30" t="s">
        <v>181</v>
      </c>
      <c r="D78" s="556">
        <v>0</v>
      </c>
      <c r="E78" s="556">
        <v>0</v>
      </c>
      <c r="F78" s="556">
        <v>0</v>
      </c>
      <c r="G78" s="556">
        <v>0</v>
      </c>
      <c r="H78" s="556">
        <f t="shared" si="3"/>
        <v>0</v>
      </c>
    </row>
    <row r="79" spans="1:8" s="26" customFormat="1" x14ac:dyDescent="0.25">
      <c r="A79" s="588">
        <v>64</v>
      </c>
      <c r="B79" s="604" t="s">
        <v>182</v>
      </c>
      <c r="C79" s="30" t="s">
        <v>183</v>
      </c>
      <c r="D79" s="556">
        <v>5554</v>
      </c>
      <c r="E79" s="556">
        <v>2588</v>
      </c>
      <c r="F79" s="556">
        <v>1759</v>
      </c>
      <c r="G79" s="556">
        <v>0</v>
      </c>
      <c r="H79" s="556">
        <f t="shared" si="3"/>
        <v>9901</v>
      </c>
    </row>
    <row r="80" spans="1:8" s="26" customFormat="1" x14ac:dyDescent="0.25">
      <c r="A80" s="588">
        <v>65</v>
      </c>
      <c r="B80" s="70" t="s">
        <v>184</v>
      </c>
      <c r="C80" s="30" t="s">
        <v>185</v>
      </c>
      <c r="D80" s="556">
        <v>9109</v>
      </c>
      <c r="E80" s="556">
        <v>6244</v>
      </c>
      <c r="F80" s="556">
        <v>4321</v>
      </c>
      <c r="G80" s="556">
        <v>400</v>
      </c>
      <c r="H80" s="556">
        <f t="shared" si="3"/>
        <v>20074</v>
      </c>
    </row>
    <row r="81" spans="1:8" s="26" customFormat="1" x14ac:dyDescent="0.25">
      <c r="A81" s="588">
        <v>66</v>
      </c>
      <c r="B81" s="604" t="s">
        <v>186</v>
      </c>
      <c r="C81" s="30" t="s">
        <v>187</v>
      </c>
      <c r="D81" s="556">
        <v>7288</v>
      </c>
      <c r="E81" s="556">
        <v>5126</v>
      </c>
      <c r="F81" s="556">
        <v>3483</v>
      </c>
      <c r="G81" s="556">
        <v>0</v>
      </c>
      <c r="H81" s="556">
        <f t="shared" si="3"/>
        <v>15897</v>
      </c>
    </row>
    <row r="82" spans="1:8" s="26" customFormat="1" ht="24" x14ac:dyDescent="0.25">
      <c r="A82" s="1132">
        <v>67</v>
      </c>
      <c r="B82" s="70" t="s">
        <v>188</v>
      </c>
      <c r="C82" s="144" t="s">
        <v>787</v>
      </c>
      <c r="D82" s="556">
        <v>5718</v>
      </c>
      <c r="E82" s="556">
        <v>2304</v>
      </c>
      <c r="F82" s="556">
        <v>1565</v>
      </c>
      <c r="G82" s="556">
        <v>545</v>
      </c>
      <c r="H82" s="556">
        <f t="shared" si="3"/>
        <v>10132</v>
      </c>
    </row>
    <row r="83" spans="1:8" s="26" customFormat="1" x14ac:dyDescent="0.25">
      <c r="A83" s="1134"/>
      <c r="B83" s="604" t="s">
        <v>156</v>
      </c>
      <c r="C83" s="30" t="s">
        <v>157</v>
      </c>
      <c r="D83" s="556">
        <v>814</v>
      </c>
      <c r="E83" s="556">
        <v>0</v>
      </c>
      <c r="F83" s="556">
        <v>0</v>
      </c>
      <c r="G83" s="556"/>
      <c r="H83" s="556">
        <f t="shared" si="3"/>
        <v>814</v>
      </c>
    </row>
    <row r="84" spans="1:8" s="26" customFormat="1" x14ac:dyDescent="0.25">
      <c r="A84" s="588">
        <v>68</v>
      </c>
      <c r="B84" s="70" t="s">
        <v>190</v>
      </c>
      <c r="C84" s="30" t="s">
        <v>191</v>
      </c>
      <c r="D84" s="556">
        <v>8425</v>
      </c>
      <c r="E84" s="556">
        <v>5877</v>
      </c>
      <c r="F84" s="556">
        <v>4207</v>
      </c>
      <c r="G84" s="556">
        <v>668</v>
      </c>
      <c r="H84" s="556">
        <f t="shared" si="3"/>
        <v>19177</v>
      </c>
    </row>
    <row r="85" spans="1:8" s="26" customFormat="1" ht="24" x14ac:dyDescent="0.25">
      <c r="A85" s="1132">
        <v>69</v>
      </c>
      <c r="B85" s="70" t="s">
        <v>192</v>
      </c>
      <c r="C85" s="144" t="s">
        <v>786</v>
      </c>
      <c r="D85" s="556">
        <v>6843</v>
      </c>
      <c r="E85" s="556">
        <v>0</v>
      </c>
      <c r="F85" s="556">
        <v>0</v>
      </c>
      <c r="G85" s="556">
        <v>0</v>
      </c>
      <c r="H85" s="556">
        <f t="shared" si="3"/>
        <v>6843</v>
      </c>
    </row>
    <row r="86" spans="1:8" s="26" customFormat="1" x14ac:dyDescent="0.25">
      <c r="A86" s="1134"/>
      <c r="B86" s="70" t="s">
        <v>152</v>
      </c>
      <c r="C86" s="30" t="s">
        <v>548</v>
      </c>
      <c r="D86" s="556">
        <v>911</v>
      </c>
      <c r="E86" s="556">
        <v>0</v>
      </c>
      <c r="F86" s="556">
        <v>0</v>
      </c>
      <c r="G86" s="556"/>
      <c r="H86" s="556">
        <f t="shared" si="3"/>
        <v>911</v>
      </c>
    </row>
    <row r="87" spans="1:8" s="26" customFormat="1" x14ac:dyDescent="0.25">
      <c r="A87" s="588">
        <v>70</v>
      </c>
      <c r="B87" s="70" t="s">
        <v>194</v>
      </c>
      <c r="C87" s="30" t="s">
        <v>195</v>
      </c>
      <c r="D87" s="556">
        <v>7148</v>
      </c>
      <c r="E87" s="556">
        <v>4951</v>
      </c>
      <c r="F87" s="556">
        <v>3613</v>
      </c>
      <c r="G87" s="556">
        <v>538</v>
      </c>
      <c r="H87" s="556">
        <f t="shared" si="3"/>
        <v>16250</v>
      </c>
    </row>
    <row r="88" spans="1:8" s="26" customFormat="1" x14ac:dyDescent="0.25">
      <c r="A88" s="588">
        <v>71</v>
      </c>
      <c r="B88" s="70" t="s">
        <v>196</v>
      </c>
      <c r="C88" s="30" t="s">
        <v>197</v>
      </c>
      <c r="D88" s="556">
        <v>0</v>
      </c>
      <c r="E88" s="556">
        <v>0</v>
      </c>
      <c r="F88" s="556">
        <v>0</v>
      </c>
      <c r="G88" s="556">
        <v>0</v>
      </c>
      <c r="H88" s="556">
        <f t="shared" si="3"/>
        <v>0</v>
      </c>
    </row>
    <row r="89" spans="1:8" s="26" customFormat="1" x14ac:dyDescent="0.25">
      <c r="A89" s="588">
        <v>72</v>
      </c>
      <c r="B89" s="71" t="s">
        <v>30</v>
      </c>
      <c r="C89" s="30" t="s">
        <v>198</v>
      </c>
      <c r="D89" s="556">
        <v>0</v>
      </c>
      <c r="E89" s="556">
        <v>0</v>
      </c>
      <c r="F89" s="556">
        <v>0</v>
      </c>
      <c r="G89" s="556">
        <v>0</v>
      </c>
      <c r="H89" s="556">
        <f t="shared" si="3"/>
        <v>0</v>
      </c>
    </row>
    <row r="90" spans="1:8" s="26" customFormat="1" ht="24" x14ac:dyDescent="0.25">
      <c r="A90" s="1132">
        <v>73</v>
      </c>
      <c r="B90" s="1135" t="s">
        <v>199</v>
      </c>
      <c r="C90" s="144" t="s">
        <v>789</v>
      </c>
      <c r="D90" s="556">
        <v>356</v>
      </c>
      <c r="E90" s="556">
        <v>250</v>
      </c>
      <c r="F90" s="556">
        <v>170</v>
      </c>
      <c r="G90" s="556">
        <v>0</v>
      </c>
      <c r="H90" s="556">
        <f t="shared" si="3"/>
        <v>776</v>
      </c>
    </row>
    <row r="91" spans="1:8" s="26" customFormat="1" ht="36" x14ac:dyDescent="0.25">
      <c r="A91" s="1133"/>
      <c r="B91" s="1136"/>
      <c r="C91" s="30" t="s">
        <v>201</v>
      </c>
      <c r="D91" s="556">
        <v>356</v>
      </c>
      <c r="E91" s="556">
        <v>250</v>
      </c>
      <c r="F91" s="556">
        <v>170</v>
      </c>
      <c r="G91" s="556">
        <v>0</v>
      </c>
      <c r="H91" s="556">
        <f t="shared" si="3"/>
        <v>776</v>
      </c>
    </row>
    <row r="92" spans="1:8" s="26" customFormat="1" x14ac:dyDescent="0.25">
      <c r="A92" s="1133"/>
      <c r="B92" s="1136"/>
      <c r="C92" s="30" t="s">
        <v>202</v>
      </c>
      <c r="D92" s="556">
        <v>0</v>
      </c>
      <c r="E92" s="556">
        <v>0</v>
      </c>
      <c r="F92" s="556">
        <v>0</v>
      </c>
      <c r="G92" s="556">
        <v>0</v>
      </c>
      <c r="H92" s="556">
        <f t="shared" si="3"/>
        <v>0</v>
      </c>
    </row>
    <row r="93" spans="1:8" s="26" customFormat="1" ht="24" x14ac:dyDescent="0.25">
      <c r="A93" s="1134"/>
      <c r="B93" s="1137"/>
      <c r="C93" s="118" t="s">
        <v>203</v>
      </c>
      <c r="D93" s="556">
        <v>0</v>
      </c>
      <c r="E93" s="556">
        <v>0</v>
      </c>
      <c r="F93" s="556">
        <v>0</v>
      </c>
      <c r="G93" s="556">
        <v>0</v>
      </c>
      <c r="H93" s="556">
        <f t="shared" si="3"/>
        <v>0</v>
      </c>
    </row>
    <row r="94" spans="1:8" s="26" customFormat="1" ht="15" customHeight="1" x14ac:dyDescent="0.25">
      <c r="A94" s="588">
        <v>74</v>
      </c>
      <c r="B94" s="71" t="s">
        <v>204</v>
      </c>
      <c r="C94" s="30" t="s">
        <v>205</v>
      </c>
      <c r="D94" s="556">
        <v>0</v>
      </c>
      <c r="E94" s="556">
        <v>0</v>
      </c>
      <c r="F94" s="556">
        <v>0</v>
      </c>
      <c r="G94" s="556">
        <v>0</v>
      </c>
      <c r="H94" s="556">
        <f t="shared" si="3"/>
        <v>0</v>
      </c>
    </row>
    <row r="95" spans="1:8" s="26" customFormat="1" x14ac:dyDescent="0.25">
      <c r="A95" s="588">
        <v>75</v>
      </c>
      <c r="B95" s="71" t="s">
        <v>206</v>
      </c>
      <c r="C95" s="30" t="s">
        <v>207</v>
      </c>
      <c r="D95" s="556">
        <v>282</v>
      </c>
      <c r="E95" s="556">
        <v>198</v>
      </c>
      <c r="F95" s="556">
        <v>135</v>
      </c>
      <c r="G95" s="556">
        <v>0</v>
      </c>
      <c r="H95" s="556">
        <f t="shared" si="3"/>
        <v>615</v>
      </c>
    </row>
    <row r="96" spans="1:8" s="26" customFormat="1" x14ac:dyDescent="0.25">
      <c r="A96" s="588">
        <v>76</v>
      </c>
      <c r="B96" s="604" t="s">
        <v>208</v>
      </c>
      <c r="C96" s="30" t="s">
        <v>209</v>
      </c>
      <c r="D96" s="556">
        <v>1756</v>
      </c>
      <c r="E96" s="556">
        <v>1235</v>
      </c>
      <c r="F96" s="556">
        <v>1326</v>
      </c>
      <c r="G96" s="556">
        <v>0</v>
      </c>
      <c r="H96" s="556">
        <f t="shared" si="3"/>
        <v>4317</v>
      </c>
    </row>
    <row r="97" spans="1:8" s="26" customFormat="1" x14ac:dyDescent="0.25">
      <c r="A97" s="588">
        <v>77</v>
      </c>
      <c r="B97" s="71" t="s">
        <v>210</v>
      </c>
      <c r="C97" s="30" t="s">
        <v>211</v>
      </c>
      <c r="D97" s="556">
        <v>915</v>
      </c>
      <c r="E97" s="556">
        <v>482</v>
      </c>
      <c r="F97" s="556">
        <v>327</v>
      </c>
      <c r="G97" s="556">
        <v>0</v>
      </c>
      <c r="H97" s="556">
        <f t="shared" si="3"/>
        <v>1724</v>
      </c>
    </row>
    <row r="98" spans="1:8" s="26" customFormat="1" x14ac:dyDescent="0.25">
      <c r="A98" s="588">
        <v>78</v>
      </c>
      <c r="B98" s="604" t="s">
        <v>212</v>
      </c>
      <c r="C98" s="30" t="s">
        <v>213</v>
      </c>
      <c r="D98" s="556">
        <v>0</v>
      </c>
      <c r="E98" s="556">
        <v>504</v>
      </c>
      <c r="F98" s="556">
        <v>343</v>
      </c>
      <c r="G98" s="556">
        <v>0</v>
      </c>
      <c r="H98" s="556">
        <f t="shared" si="3"/>
        <v>847</v>
      </c>
    </row>
    <row r="99" spans="1:8" s="26" customFormat="1" x14ac:dyDescent="0.25">
      <c r="A99" s="588">
        <v>79</v>
      </c>
      <c r="B99" s="604" t="s">
        <v>214</v>
      </c>
      <c r="C99" s="30" t="s">
        <v>215</v>
      </c>
      <c r="D99" s="556">
        <v>2778</v>
      </c>
      <c r="E99" s="556">
        <v>1414</v>
      </c>
      <c r="F99" s="556">
        <v>961</v>
      </c>
      <c r="G99" s="556">
        <v>0</v>
      </c>
      <c r="H99" s="556">
        <f t="shared" si="3"/>
        <v>5153</v>
      </c>
    </row>
    <row r="100" spans="1:8" s="26" customFormat="1" x14ac:dyDescent="0.25">
      <c r="A100" s="588">
        <v>80</v>
      </c>
      <c r="B100" s="71" t="s">
        <v>216</v>
      </c>
      <c r="C100" s="30" t="s">
        <v>217</v>
      </c>
      <c r="D100" s="556">
        <v>847</v>
      </c>
      <c r="E100" s="556">
        <v>595</v>
      </c>
      <c r="F100" s="556">
        <v>405</v>
      </c>
      <c r="G100" s="556">
        <v>0</v>
      </c>
      <c r="H100" s="556">
        <f t="shared" si="3"/>
        <v>1847</v>
      </c>
    </row>
    <row r="101" spans="1:8" s="26" customFormat="1" x14ac:dyDescent="0.25">
      <c r="A101" s="588">
        <v>81</v>
      </c>
      <c r="B101" s="70" t="s">
        <v>218</v>
      </c>
      <c r="C101" s="30" t="s">
        <v>219</v>
      </c>
      <c r="D101" s="556">
        <v>0</v>
      </c>
      <c r="E101" s="556">
        <v>0</v>
      </c>
      <c r="F101" s="556">
        <v>0</v>
      </c>
      <c r="G101" s="556">
        <v>0</v>
      </c>
      <c r="H101" s="556">
        <f t="shared" si="3"/>
        <v>0</v>
      </c>
    </row>
    <row r="102" spans="1:8" s="26" customFormat="1" x14ac:dyDescent="0.25">
      <c r="A102" s="588">
        <v>82</v>
      </c>
      <c r="B102" s="70" t="s">
        <v>220</v>
      </c>
      <c r="C102" s="30" t="s">
        <v>221</v>
      </c>
      <c r="D102" s="556">
        <v>2485</v>
      </c>
      <c r="E102" s="556">
        <v>1434</v>
      </c>
      <c r="F102" s="556">
        <v>1006</v>
      </c>
      <c r="G102" s="556">
        <v>0</v>
      </c>
      <c r="H102" s="556">
        <f t="shared" si="3"/>
        <v>4925</v>
      </c>
    </row>
    <row r="103" spans="1:8" s="26" customFormat="1" x14ac:dyDescent="0.25">
      <c r="A103" s="588">
        <v>83</v>
      </c>
      <c r="B103" s="604" t="s">
        <v>222</v>
      </c>
      <c r="C103" s="30" t="s">
        <v>223</v>
      </c>
      <c r="D103" s="556">
        <v>879</v>
      </c>
      <c r="E103" s="556">
        <v>457</v>
      </c>
      <c r="F103" s="556">
        <v>310</v>
      </c>
      <c r="G103" s="556">
        <v>0</v>
      </c>
      <c r="H103" s="556">
        <f t="shared" si="3"/>
        <v>1646</v>
      </c>
    </row>
    <row r="104" spans="1:8" s="26" customFormat="1" x14ac:dyDescent="0.25">
      <c r="A104" s="588">
        <v>84</v>
      </c>
      <c r="B104" s="70" t="s">
        <v>224</v>
      </c>
      <c r="C104" s="30" t="s">
        <v>225</v>
      </c>
      <c r="D104" s="556">
        <v>1018</v>
      </c>
      <c r="E104" s="556">
        <v>716</v>
      </c>
      <c r="F104" s="556">
        <v>0</v>
      </c>
      <c r="G104" s="556">
        <v>0</v>
      </c>
      <c r="H104" s="556">
        <f t="shared" si="3"/>
        <v>1734</v>
      </c>
    </row>
    <row r="105" spans="1:8" s="26" customFormat="1" x14ac:dyDescent="0.25">
      <c r="A105" s="588">
        <v>85</v>
      </c>
      <c r="B105" s="70" t="s">
        <v>226</v>
      </c>
      <c r="C105" s="30" t="s">
        <v>227</v>
      </c>
      <c r="D105" s="556">
        <v>1320</v>
      </c>
      <c r="E105" s="556">
        <v>676</v>
      </c>
      <c r="F105" s="556">
        <v>460</v>
      </c>
      <c r="G105" s="556">
        <v>0</v>
      </c>
      <c r="H105" s="556">
        <f t="shared" si="3"/>
        <v>2456</v>
      </c>
    </row>
    <row r="106" spans="1:8" s="26" customFormat="1" x14ac:dyDescent="0.25">
      <c r="A106" s="588">
        <v>86</v>
      </c>
      <c r="B106" s="71" t="s">
        <v>32</v>
      </c>
      <c r="C106" s="30" t="s">
        <v>33</v>
      </c>
      <c r="D106" s="556">
        <v>2390</v>
      </c>
      <c r="E106" s="556">
        <v>1319</v>
      </c>
      <c r="F106" s="556">
        <v>556</v>
      </c>
      <c r="G106" s="556">
        <v>219</v>
      </c>
      <c r="H106" s="556">
        <f t="shared" si="3"/>
        <v>4484</v>
      </c>
    </row>
    <row r="107" spans="1:8" s="148" customFormat="1" x14ac:dyDescent="0.25">
      <c r="A107" s="588">
        <v>87</v>
      </c>
      <c r="B107" s="604" t="s">
        <v>228</v>
      </c>
      <c r="C107" s="30" t="s">
        <v>229</v>
      </c>
      <c r="D107" s="556">
        <v>746</v>
      </c>
      <c r="E107" s="556">
        <v>524</v>
      </c>
      <c r="F107" s="556">
        <v>356</v>
      </c>
      <c r="G107" s="556">
        <v>0</v>
      </c>
      <c r="H107" s="556">
        <f t="shared" si="3"/>
        <v>1626</v>
      </c>
    </row>
    <row r="108" spans="1:8" s="26" customFormat="1" x14ac:dyDescent="0.25">
      <c r="A108" s="588">
        <v>88</v>
      </c>
      <c r="B108" s="70" t="s">
        <v>230</v>
      </c>
      <c r="C108" s="30" t="s">
        <v>231</v>
      </c>
      <c r="D108" s="556">
        <v>1972</v>
      </c>
      <c r="E108" s="556">
        <v>1387</v>
      </c>
      <c r="F108" s="556">
        <v>942</v>
      </c>
      <c r="G108" s="556">
        <v>0</v>
      </c>
      <c r="H108" s="556">
        <f t="shared" si="3"/>
        <v>4301</v>
      </c>
    </row>
    <row r="109" spans="1:8" s="26" customFormat="1" x14ac:dyDescent="0.25">
      <c r="A109" s="588">
        <v>89</v>
      </c>
      <c r="B109" s="70" t="s">
        <v>232</v>
      </c>
      <c r="C109" s="30" t="s">
        <v>233</v>
      </c>
      <c r="D109" s="556">
        <v>0</v>
      </c>
      <c r="E109" s="556">
        <v>0</v>
      </c>
      <c r="F109" s="556">
        <v>0</v>
      </c>
      <c r="G109" s="556">
        <v>0</v>
      </c>
      <c r="H109" s="556">
        <f t="shared" si="3"/>
        <v>0</v>
      </c>
    </row>
    <row r="110" spans="1:8" s="26" customFormat="1" x14ac:dyDescent="0.25">
      <c r="A110" s="588">
        <v>90</v>
      </c>
      <c r="B110" s="70" t="s">
        <v>234</v>
      </c>
      <c r="C110" s="30" t="s">
        <v>235</v>
      </c>
      <c r="D110" s="556">
        <v>0</v>
      </c>
      <c r="E110" s="556">
        <v>0</v>
      </c>
      <c r="F110" s="556">
        <v>0</v>
      </c>
      <c r="G110" s="556">
        <v>0</v>
      </c>
      <c r="H110" s="556">
        <f t="shared" si="3"/>
        <v>0</v>
      </c>
    </row>
    <row r="111" spans="1:8" s="26" customFormat="1" x14ac:dyDescent="0.25">
      <c r="A111" s="588">
        <v>91</v>
      </c>
      <c r="B111" s="604" t="s">
        <v>236</v>
      </c>
      <c r="C111" s="30" t="s">
        <v>237</v>
      </c>
      <c r="D111" s="556">
        <v>0</v>
      </c>
      <c r="E111" s="556">
        <v>0</v>
      </c>
      <c r="F111" s="556">
        <v>0</v>
      </c>
      <c r="G111" s="556">
        <v>0</v>
      </c>
      <c r="H111" s="556">
        <f t="shared" si="3"/>
        <v>0</v>
      </c>
    </row>
    <row r="112" spans="1:8" s="26" customFormat="1" x14ac:dyDescent="0.25">
      <c r="A112" s="588">
        <v>92</v>
      </c>
      <c r="B112" s="604" t="s">
        <v>238</v>
      </c>
      <c r="C112" s="30" t="s">
        <v>239</v>
      </c>
      <c r="D112" s="556">
        <v>0</v>
      </c>
      <c r="E112" s="556">
        <v>0</v>
      </c>
      <c r="F112" s="556">
        <v>0</v>
      </c>
      <c r="G112" s="556">
        <v>0</v>
      </c>
      <c r="H112" s="556">
        <f t="shared" si="3"/>
        <v>0</v>
      </c>
    </row>
    <row r="113" spans="1:8" s="26" customFormat="1" x14ac:dyDescent="0.25">
      <c r="A113" s="588">
        <v>93</v>
      </c>
      <c r="B113" s="604" t="s">
        <v>240</v>
      </c>
      <c r="C113" s="30" t="s">
        <v>241</v>
      </c>
      <c r="D113" s="556">
        <v>0</v>
      </c>
      <c r="E113" s="556">
        <v>0</v>
      </c>
      <c r="F113" s="556">
        <v>0</v>
      </c>
      <c r="G113" s="556">
        <v>0</v>
      </c>
      <c r="H113" s="556">
        <f t="shared" si="3"/>
        <v>0</v>
      </c>
    </row>
    <row r="114" spans="1:8" s="26" customFormat="1" x14ac:dyDescent="0.25">
      <c r="A114" s="588">
        <v>94</v>
      </c>
      <c r="B114" s="604" t="s">
        <v>242</v>
      </c>
      <c r="C114" s="30" t="s">
        <v>243</v>
      </c>
      <c r="D114" s="556">
        <v>0</v>
      </c>
      <c r="E114" s="556">
        <v>0</v>
      </c>
      <c r="F114" s="556">
        <v>0</v>
      </c>
      <c r="G114" s="556">
        <v>0</v>
      </c>
      <c r="H114" s="556">
        <f t="shared" si="3"/>
        <v>0</v>
      </c>
    </row>
    <row r="115" spans="1:8" s="26" customFormat="1" x14ac:dyDescent="0.25">
      <c r="A115" s="588">
        <v>95</v>
      </c>
      <c r="B115" s="604" t="s">
        <v>244</v>
      </c>
      <c r="C115" s="30" t="s">
        <v>245</v>
      </c>
      <c r="D115" s="556">
        <v>0</v>
      </c>
      <c r="E115" s="556">
        <v>0</v>
      </c>
      <c r="F115" s="556">
        <v>0</v>
      </c>
      <c r="G115" s="556">
        <v>0</v>
      </c>
      <c r="H115" s="556">
        <f t="shared" si="3"/>
        <v>0</v>
      </c>
    </row>
    <row r="116" spans="1:8" s="26" customFormat="1" x14ac:dyDescent="0.25">
      <c r="A116" s="588">
        <v>96</v>
      </c>
      <c r="B116" s="591" t="s">
        <v>246</v>
      </c>
      <c r="C116" s="590" t="s">
        <v>247</v>
      </c>
      <c r="D116" s="556">
        <v>0</v>
      </c>
      <c r="E116" s="556">
        <v>0</v>
      </c>
      <c r="F116" s="556">
        <v>0</v>
      </c>
      <c r="G116" s="556">
        <v>0</v>
      </c>
      <c r="H116" s="556">
        <f t="shared" si="3"/>
        <v>0</v>
      </c>
    </row>
    <row r="117" spans="1:8" s="26" customFormat="1" x14ac:dyDescent="0.25">
      <c r="A117" s="588">
        <v>97</v>
      </c>
      <c r="B117" s="71" t="s">
        <v>248</v>
      </c>
      <c r="C117" s="30" t="s">
        <v>249</v>
      </c>
      <c r="D117" s="556">
        <v>0</v>
      </c>
      <c r="E117" s="556">
        <v>0</v>
      </c>
      <c r="F117" s="556">
        <v>0</v>
      </c>
      <c r="G117" s="556">
        <v>0</v>
      </c>
      <c r="H117" s="556">
        <f t="shared" si="3"/>
        <v>0</v>
      </c>
    </row>
    <row r="118" spans="1:8" s="26" customFormat="1" x14ac:dyDescent="0.25">
      <c r="A118" s="588">
        <v>98</v>
      </c>
      <c r="B118" s="604" t="s">
        <v>250</v>
      </c>
      <c r="C118" s="30" t="s">
        <v>251</v>
      </c>
      <c r="D118" s="556">
        <v>0</v>
      </c>
      <c r="E118" s="556">
        <v>0</v>
      </c>
      <c r="F118" s="556">
        <v>0</v>
      </c>
      <c r="G118" s="556">
        <v>0</v>
      </c>
      <c r="H118" s="556">
        <f t="shared" si="3"/>
        <v>0</v>
      </c>
    </row>
    <row r="119" spans="1:8" s="26" customFormat="1" x14ac:dyDescent="0.25">
      <c r="A119" s="588">
        <v>99</v>
      </c>
      <c r="B119" s="70" t="s">
        <v>252</v>
      </c>
      <c r="C119" s="119" t="s">
        <v>253</v>
      </c>
      <c r="D119" s="556">
        <v>0</v>
      </c>
      <c r="E119" s="556">
        <v>0</v>
      </c>
      <c r="F119" s="556">
        <v>0</v>
      </c>
      <c r="G119" s="556">
        <v>0</v>
      </c>
      <c r="H119" s="556">
        <f t="shared" si="3"/>
        <v>0</v>
      </c>
    </row>
    <row r="120" spans="1:8" s="26" customFormat="1" x14ac:dyDescent="0.25">
      <c r="A120" s="588">
        <v>100</v>
      </c>
      <c r="B120" s="604" t="s">
        <v>254</v>
      </c>
      <c r="C120" s="30" t="s">
        <v>255</v>
      </c>
      <c r="D120" s="556">
        <v>0</v>
      </c>
      <c r="E120" s="556">
        <v>0</v>
      </c>
      <c r="F120" s="556">
        <v>0</v>
      </c>
      <c r="G120" s="556">
        <v>0</v>
      </c>
      <c r="H120" s="556">
        <f t="shared" si="3"/>
        <v>0</v>
      </c>
    </row>
    <row r="121" spans="1:8" s="26" customFormat="1" x14ac:dyDescent="0.25">
      <c r="A121" s="588">
        <v>101</v>
      </c>
      <c r="B121" s="71" t="s">
        <v>256</v>
      </c>
      <c r="C121" s="30" t="s">
        <v>257</v>
      </c>
      <c r="D121" s="556">
        <v>0</v>
      </c>
      <c r="E121" s="556">
        <v>0</v>
      </c>
      <c r="F121" s="556">
        <v>0</v>
      </c>
      <c r="G121" s="556">
        <v>0</v>
      </c>
      <c r="H121" s="556">
        <f t="shared" si="3"/>
        <v>0</v>
      </c>
    </row>
    <row r="122" spans="1:8" s="26" customFormat="1" x14ac:dyDescent="0.25">
      <c r="A122" s="588">
        <v>102</v>
      </c>
      <c r="B122" s="70" t="s">
        <v>258</v>
      </c>
      <c r="C122" s="30" t="s">
        <v>259</v>
      </c>
      <c r="D122" s="556">
        <v>0</v>
      </c>
      <c r="E122" s="556">
        <v>0</v>
      </c>
      <c r="F122" s="556">
        <v>0</v>
      </c>
      <c r="G122" s="556">
        <v>0</v>
      </c>
      <c r="H122" s="556">
        <f t="shared" si="3"/>
        <v>0</v>
      </c>
    </row>
    <row r="123" spans="1:8" s="26" customFormat="1" x14ac:dyDescent="0.25">
      <c r="A123" s="588">
        <v>103</v>
      </c>
      <c r="B123" s="592" t="s">
        <v>542</v>
      </c>
      <c r="C123" s="590" t="s">
        <v>543</v>
      </c>
      <c r="D123" s="556">
        <v>0</v>
      </c>
      <c r="E123" s="556">
        <v>0</v>
      </c>
      <c r="F123" s="556">
        <v>0</v>
      </c>
      <c r="G123" s="556">
        <v>0</v>
      </c>
      <c r="H123" s="556">
        <f t="shared" si="3"/>
        <v>0</v>
      </c>
    </row>
    <row r="124" spans="1:8" s="26" customFormat="1" x14ac:dyDescent="0.25">
      <c r="A124" s="588">
        <v>104</v>
      </c>
      <c r="B124" s="71" t="s">
        <v>260</v>
      </c>
      <c r="C124" s="30" t="s">
        <v>261</v>
      </c>
      <c r="D124" s="556">
        <v>0</v>
      </c>
      <c r="E124" s="556">
        <v>0</v>
      </c>
      <c r="F124" s="556">
        <v>0</v>
      </c>
      <c r="G124" s="556">
        <v>0</v>
      </c>
      <c r="H124" s="556">
        <f t="shared" si="3"/>
        <v>0</v>
      </c>
    </row>
    <row r="125" spans="1:8" s="26" customFormat="1" x14ac:dyDescent="0.25">
      <c r="A125" s="588">
        <v>105</v>
      </c>
      <c r="B125" s="604" t="s">
        <v>262</v>
      </c>
      <c r="C125" s="30" t="s">
        <v>263</v>
      </c>
      <c r="D125" s="556">
        <v>0</v>
      </c>
      <c r="E125" s="556">
        <v>0</v>
      </c>
      <c r="F125" s="556">
        <v>0</v>
      </c>
      <c r="G125" s="556">
        <v>0</v>
      </c>
      <c r="H125" s="556">
        <f t="shared" si="3"/>
        <v>0</v>
      </c>
    </row>
    <row r="126" spans="1:8" s="26" customFormat="1" x14ac:dyDescent="0.25">
      <c r="A126" s="588">
        <v>106</v>
      </c>
      <c r="B126" s="604" t="s">
        <v>264</v>
      </c>
      <c r="C126" s="120" t="s">
        <v>265</v>
      </c>
      <c r="D126" s="556">
        <v>0</v>
      </c>
      <c r="E126" s="556">
        <v>0</v>
      </c>
      <c r="F126" s="556">
        <v>0</v>
      </c>
      <c r="G126" s="556">
        <v>0</v>
      </c>
      <c r="H126" s="556">
        <f t="shared" si="3"/>
        <v>0</v>
      </c>
    </row>
    <row r="127" spans="1:8" s="26" customFormat="1" x14ac:dyDescent="0.25">
      <c r="A127" s="588">
        <v>107</v>
      </c>
      <c r="B127" s="604" t="s">
        <v>266</v>
      </c>
      <c r="C127" s="30" t="s">
        <v>267</v>
      </c>
      <c r="D127" s="556">
        <v>2000</v>
      </c>
      <c r="E127" s="556">
        <v>1800</v>
      </c>
      <c r="F127" s="556">
        <v>1000</v>
      </c>
      <c r="G127" s="556">
        <v>801</v>
      </c>
      <c r="H127" s="556">
        <f t="shared" si="3"/>
        <v>5601</v>
      </c>
    </row>
    <row r="128" spans="1:8" s="26" customFormat="1" x14ac:dyDescent="0.25">
      <c r="A128" s="588">
        <v>108</v>
      </c>
      <c r="B128" s="604" t="s">
        <v>268</v>
      </c>
      <c r="C128" s="30" t="s">
        <v>269</v>
      </c>
      <c r="D128" s="556">
        <v>3100</v>
      </c>
      <c r="E128" s="556">
        <v>0</v>
      </c>
      <c r="F128" s="556">
        <v>0</v>
      </c>
      <c r="G128" s="556">
        <v>0</v>
      </c>
      <c r="H128" s="556">
        <f t="shared" si="3"/>
        <v>3100</v>
      </c>
    </row>
    <row r="129" spans="1:8" s="26" customFormat="1" x14ac:dyDescent="0.25">
      <c r="A129" s="588">
        <v>109</v>
      </c>
      <c r="B129" s="604" t="s">
        <v>270</v>
      </c>
      <c r="C129" s="30" t="s">
        <v>271</v>
      </c>
      <c r="D129" s="556">
        <v>13000</v>
      </c>
      <c r="E129" s="556">
        <v>1535</v>
      </c>
      <c r="F129" s="556">
        <v>662</v>
      </c>
      <c r="G129" s="556">
        <v>725</v>
      </c>
      <c r="H129" s="556">
        <f t="shared" si="3"/>
        <v>15922</v>
      </c>
    </row>
    <row r="130" spans="1:8" s="26" customFormat="1" x14ac:dyDescent="0.25">
      <c r="A130" s="588">
        <v>110</v>
      </c>
      <c r="B130" s="70" t="s">
        <v>272</v>
      </c>
      <c r="C130" s="30" t="s">
        <v>273</v>
      </c>
      <c r="D130" s="556">
        <v>2500</v>
      </c>
      <c r="E130" s="556">
        <v>0</v>
      </c>
      <c r="F130" s="556">
        <v>0</v>
      </c>
      <c r="G130" s="556">
        <v>0</v>
      </c>
      <c r="H130" s="556">
        <f t="shared" si="3"/>
        <v>2500</v>
      </c>
    </row>
    <row r="131" spans="1:8" x14ac:dyDescent="0.25">
      <c r="A131" s="588">
        <v>111</v>
      </c>
      <c r="B131" s="70" t="s">
        <v>274</v>
      </c>
      <c r="C131" s="30" t="s">
        <v>275</v>
      </c>
      <c r="D131" s="556">
        <v>0</v>
      </c>
      <c r="E131" s="556">
        <v>0</v>
      </c>
      <c r="F131" s="556">
        <v>0</v>
      </c>
      <c r="G131" s="556">
        <v>0</v>
      </c>
      <c r="H131" s="556">
        <f t="shared" si="3"/>
        <v>0</v>
      </c>
    </row>
    <row r="132" spans="1:8" s="26" customFormat="1" x14ac:dyDescent="0.25">
      <c r="A132" s="588">
        <v>112</v>
      </c>
      <c r="B132" s="70" t="s">
        <v>276</v>
      </c>
      <c r="C132" s="30" t="s">
        <v>277</v>
      </c>
      <c r="D132" s="556">
        <v>700</v>
      </c>
      <c r="E132" s="556">
        <v>0</v>
      </c>
      <c r="F132" s="556">
        <v>0</v>
      </c>
      <c r="G132" s="556">
        <v>0</v>
      </c>
      <c r="H132" s="556">
        <f t="shared" si="3"/>
        <v>700</v>
      </c>
    </row>
    <row r="133" spans="1:8" s="26" customFormat="1" x14ac:dyDescent="0.25">
      <c r="A133" s="588">
        <v>113</v>
      </c>
      <c r="B133" s="604" t="s">
        <v>278</v>
      </c>
      <c r="C133" s="30" t="s">
        <v>279</v>
      </c>
      <c r="D133" s="556">
        <v>0</v>
      </c>
      <c r="E133" s="556">
        <v>0</v>
      </c>
      <c r="F133" s="556">
        <v>0</v>
      </c>
      <c r="G133" s="556">
        <v>0</v>
      </c>
      <c r="H133" s="556">
        <f t="shared" si="3"/>
        <v>0</v>
      </c>
    </row>
    <row r="134" spans="1:8" s="26" customFormat="1" x14ac:dyDescent="0.25">
      <c r="A134" s="588">
        <v>114</v>
      </c>
      <c r="B134" s="604" t="s">
        <v>280</v>
      </c>
      <c r="C134" s="30" t="s">
        <v>281</v>
      </c>
      <c r="D134" s="556">
        <v>0</v>
      </c>
      <c r="E134" s="556">
        <v>0</v>
      </c>
      <c r="F134" s="556">
        <v>0</v>
      </c>
      <c r="G134" s="556">
        <v>0</v>
      </c>
      <c r="H134" s="556">
        <f t="shared" si="3"/>
        <v>0</v>
      </c>
    </row>
    <row r="135" spans="1:8" s="26" customFormat="1" x14ac:dyDescent="0.25">
      <c r="A135" s="588">
        <v>115</v>
      </c>
      <c r="B135" s="604" t="s">
        <v>282</v>
      </c>
      <c r="C135" s="30" t="s">
        <v>768</v>
      </c>
      <c r="D135" s="556">
        <v>620</v>
      </c>
      <c r="E135" s="556">
        <v>1020</v>
      </c>
      <c r="F135" s="556">
        <v>660</v>
      </c>
      <c r="G135" s="556">
        <v>0</v>
      </c>
      <c r="H135" s="556">
        <f t="shared" si="3"/>
        <v>2300</v>
      </c>
    </row>
    <row r="136" spans="1:8" s="26" customFormat="1" x14ac:dyDescent="0.25">
      <c r="A136" s="588">
        <v>116</v>
      </c>
      <c r="B136" s="70" t="s">
        <v>283</v>
      </c>
      <c r="C136" s="30" t="s">
        <v>284</v>
      </c>
      <c r="D136" s="556">
        <v>3396</v>
      </c>
      <c r="E136" s="556">
        <v>2388</v>
      </c>
      <c r="F136" s="556">
        <v>1623</v>
      </c>
      <c r="G136" s="556">
        <v>279</v>
      </c>
      <c r="H136" s="556">
        <f t="shared" si="3"/>
        <v>7686</v>
      </c>
    </row>
    <row r="137" spans="1:8" s="26" customFormat="1" x14ac:dyDescent="0.25">
      <c r="A137" s="588">
        <v>117</v>
      </c>
      <c r="B137" s="71" t="s">
        <v>285</v>
      </c>
      <c r="C137" s="30" t="s">
        <v>726</v>
      </c>
      <c r="D137" s="556">
        <v>5459</v>
      </c>
      <c r="E137" s="556">
        <v>3034</v>
      </c>
      <c r="F137" s="556">
        <v>2061</v>
      </c>
      <c r="G137" s="556">
        <v>459</v>
      </c>
      <c r="H137" s="556">
        <f t="shared" si="3"/>
        <v>11013</v>
      </c>
    </row>
    <row r="138" spans="1:8" s="26" customFormat="1" x14ac:dyDescent="0.25">
      <c r="A138" s="588">
        <v>118</v>
      </c>
      <c r="B138" s="604" t="s">
        <v>286</v>
      </c>
      <c r="C138" s="30" t="s">
        <v>287</v>
      </c>
      <c r="D138" s="556">
        <v>0</v>
      </c>
      <c r="E138" s="556">
        <v>0</v>
      </c>
      <c r="F138" s="556">
        <v>0</v>
      </c>
      <c r="G138" s="556">
        <v>0</v>
      </c>
      <c r="H138" s="556">
        <f t="shared" ref="H138:H147" si="4">D138+E138+F138+G138</f>
        <v>0</v>
      </c>
    </row>
    <row r="139" spans="1:8" s="26" customFormat="1" x14ac:dyDescent="0.25">
      <c r="A139" s="588">
        <v>119</v>
      </c>
      <c r="B139" s="70" t="s">
        <v>288</v>
      </c>
      <c r="C139" s="30" t="s">
        <v>289</v>
      </c>
      <c r="D139" s="556">
        <v>0</v>
      </c>
      <c r="E139" s="556">
        <v>0</v>
      </c>
      <c r="F139" s="556">
        <v>0</v>
      </c>
      <c r="G139" s="556">
        <v>0</v>
      </c>
      <c r="H139" s="556">
        <f t="shared" si="4"/>
        <v>0</v>
      </c>
    </row>
    <row r="140" spans="1:8" s="26" customFormat="1" x14ac:dyDescent="0.25">
      <c r="A140" s="588">
        <v>120</v>
      </c>
      <c r="B140" s="604" t="s">
        <v>290</v>
      </c>
      <c r="C140" s="30" t="s">
        <v>291</v>
      </c>
      <c r="D140" s="556">
        <v>0</v>
      </c>
      <c r="E140" s="556">
        <v>0</v>
      </c>
      <c r="F140" s="556">
        <v>0</v>
      </c>
      <c r="G140" s="556">
        <v>0</v>
      </c>
      <c r="H140" s="556">
        <f t="shared" si="4"/>
        <v>0</v>
      </c>
    </row>
    <row r="141" spans="1:8" x14ac:dyDescent="0.25">
      <c r="A141" s="588">
        <v>121</v>
      </c>
      <c r="B141" s="138" t="s">
        <v>292</v>
      </c>
      <c r="C141" s="593" t="s">
        <v>293</v>
      </c>
      <c r="D141" s="556">
        <v>0</v>
      </c>
      <c r="E141" s="556">
        <v>0</v>
      </c>
      <c r="F141" s="556">
        <v>0</v>
      </c>
      <c r="G141" s="556">
        <v>0</v>
      </c>
      <c r="H141" s="556">
        <f t="shared" si="4"/>
        <v>0</v>
      </c>
    </row>
    <row r="142" spans="1:8" x14ac:dyDescent="0.25">
      <c r="A142" s="588">
        <v>122</v>
      </c>
      <c r="B142" s="140" t="s">
        <v>294</v>
      </c>
      <c r="C142" s="594" t="s">
        <v>295</v>
      </c>
      <c r="D142" s="556">
        <v>0</v>
      </c>
      <c r="E142" s="556">
        <v>0</v>
      </c>
      <c r="F142" s="556">
        <v>0</v>
      </c>
      <c r="G142" s="556">
        <v>0</v>
      </c>
      <c r="H142" s="556">
        <f t="shared" si="4"/>
        <v>0</v>
      </c>
    </row>
    <row r="143" spans="1:8" x14ac:dyDescent="0.2">
      <c r="A143" s="588">
        <v>123</v>
      </c>
      <c r="B143" s="595" t="s">
        <v>296</v>
      </c>
      <c r="C143" s="596" t="s">
        <v>460</v>
      </c>
      <c r="D143" s="556">
        <v>0</v>
      </c>
      <c r="E143" s="556">
        <v>0</v>
      </c>
      <c r="F143" s="556">
        <v>0</v>
      </c>
      <c r="G143" s="556">
        <v>0</v>
      </c>
      <c r="H143" s="556">
        <f t="shared" si="4"/>
        <v>0</v>
      </c>
    </row>
    <row r="144" spans="1:8" x14ac:dyDescent="0.25">
      <c r="A144" s="588">
        <v>124</v>
      </c>
      <c r="B144" s="588" t="s">
        <v>298</v>
      </c>
      <c r="C144" s="597" t="s">
        <v>299</v>
      </c>
      <c r="D144" s="556">
        <v>0</v>
      </c>
      <c r="E144" s="556">
        <v>0</v>
      </c>
      <c r="F144" s="556">
        <v>0</v>
      </c>
      <c r="G144" s="556">
        <v>0</v>
      </c>
      <c r="H144" s="556">
        <f t="shared" si="4"/>
        <v>0</v>
      </c>
    </row>
    <row r="145" spans="1:8" x14ac:dyDescent="0.25">
      <c r="A145" s="588">
        <v>125</v>
      </c>
      <c r="B145" s="592" t="s">
        <v>300</v>
      </c>
      <c r="C145" s="597" t="s">
        <v>301</v>
      </c>
      <c r="D145" s="556">
        <v>0</v>
      </c>
      <c r="E145" s="556">
        <v>0</v>
      </c>
      <c r="F145" s="556">
        <v>0</v>
      </c>
      <c r="G145" s="556">
        <v>0</v>
      </c>
      <c r="H145" s="556">
        <f t="shared" si="4"/>
        <v>0</v>
      </c>
    </row>
    <row r="146" spans="1:8" x14ac:dyDescent="0.25">
      <c r="A146" s="588">
        <v>126</v>
      </c>
      <c r="B146" s="592" t="s">
        <v>302</v>
      </c>
      <c r="C146" s="597" t="s">
        <v>303</v>
      </c>
      <c r="D146" s="556">
        <v>0</v>
      </c>
      <c r="E146" s="556">
        <v>0</v>
      </c>
      <c r="F146" s="556">
        <v>0</v>
      </c>
      <c r="G146" s="556">
        <v>0</v>
      </c>
      <c r="H146" s="556">
        <f t="shared" si="4"/>
        <v>0</v>
      </c>
    </row>
    <row r="147" spans="1:8" x14ac:dyDescent="0.25">
      <c r="A147" s="588">
        <v>127</v>
      </c>
      <c r="B147" s="592" t="s">
        <v>304</v>
      </c>
      <c r="C147" s="590" t="s">
        <v>305</v>
      </c>
      <c r="D147" s="556">
        <v>0</v>
      </c>
      <c r="E147" s="556">
        <v>0</v>
      </c>
      <c r="F147" s="556">
        <v>0</v>
      </c>
      <c r="G147" s="556">
        <v>0</v>
      </c>
      <c r="H147" s="556">
        <f t="shared" si="4"/>
        <v>0</v>
      </c>
    </row>
    <row r="150" spans="1:8" s="31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1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4">
    <mergeCell ref="A6:C6"/>
    <mergeCell ref="A9:C9"/>
    <mergeCell ref="A90:A93"/>
    <mergeCell ref="B90:B93"/>
    <mergeCell ref="A2:H2"/>
    <mergeCell ref="A4:A5"/>
    <mergeCell ref="B4:B5"/>
    <mergeCell ref="C4:C5"/>
    <mergeCell ref="D4:H4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107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AJ114" sqref="AJ114"/>
    </sheetView>
  </sheetViews>
  <sheetFormatPr defaultColWidth="9.140625" defaultRowHeight="12.75" x14ac:dyDescent="0.2"/>
  <cols>
    <col min="1" max="1" width="7.7109375" style="214" hidden="1" customWidth="1"/>
    <col min="2" max="2" width="17.7109375" style="259" customWidth="1"/>
    <col min="3" max="3" width="7.42578125" style="260" customWidth="1"/>
    <col min="4" max="4" width="7.5703125" style="260" customWidth="1"/>
    <col min="5" max="5" width="7" style="260" customWidth="1"/>
    <col min="6" max="6" width="5.85546875" style="260" customWidth="1"/>
    <col min="7" max="7" width="6.140625" style="261" customWidth="1"/>
    <col min="8" max="8" width="6" style="260" customWidth="1"/>
    <col min="9" max="9" width="6.7109375" style="260" customWidth="1"/>
    <col min="10" max="10" width="6" style="260" customWidth="1"/>
    <col min="11" max="11" width="8.140625" style="261" customWidth="1"/>
    <col min="12" max="12" width="8.140625" style="260" customWidth="1"/>
    <col min="13" max="13" width="8" style="214" customWidth="1"/>
    <col min="14" max="14" width="8.42578125" style="262" customWidth="1"/>
    <col min="15" max="15" width="7.85546875" style="261" customWidth="1"/>
    <col min="16" max="16" width="8" style="260" customWidth="1"/>
    <col min="17" max="17" width="8.42578125" style="260" customWidth="1"/>
    <col min="18" max="18" width="8.7109375" style="261" customWidth="1"/>
    <col min="19" max="19" width="8.42578125" style="260" customWidth="1"/>
    <col min="20" max="20" width="7.7109375" style="214" customWidth="1"/>
    <col min="21" max="21" width="8.140625" style="214" customWidth="1"/>
    <col min="22" max="22" width="8.7109375" style="214" customWidth="1"/>
    <col min="23" max="23" width="8.140625" style="214" customWidth="1"/>
    <col min="24" max="24" width="8" style="263" customWidth="1"/>
    <col min="25" max="25" width="8.85546875" style="214" customWidth="1"/>
    <col min="26" max="26" width="7.28515625" style="263" customWidth="1"/>
    <col min="27" max="27" width="11.5703125" style="260" hidden="1" customWidth="1"/>
    <col min="28" max="28" width="7" style="260" customWidth="1"/>
    <col min="29" max="29" width="6.5703125" style="214" customWidth="1"/>
    <col min="30" max="30" width="7.28515625" style="214" customWidth="1"/>
    <col min="31" max="31" width="8.140625" style="263" customWidth="1"/>
    <col min="32" max="32" width="6" style="263" hidden="1" customWidth="1"/>
    <col min="33" max="33" width="7.28515625" style="214" hidden="1" customWidth="1"/>
    <col min="34" max="34" width="10.85546875" style="215" bestFit="1" customWidth="1"/>
    <col min="35" max="35" width="9.140625" style="214"/>
    <col min="36" max="36" width="14.42578125" style="214" customWidth="1"/>
    <col min="37" max="37" width="12" style="214" bestFit="1" customWidth="1"/>
    <col min="38" max="16384" width="9.140625" style="214"/>
  </cols>
  <sheetData>
    <row r="1" spans="1:34" ht="28.5" customHeight="1" x14ac:dyDescent="0.2">
      <c r="B1" s="858" t="s">
        <v>639</v>
      </c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X1" s="858"/>
      <c r="Y1" s="858"/>
      <c r="Z1" s="858"/>
      <c r="AA1" s="858"/>
      <c r="AB1" s="858"/>
      <c r="AC1" s="858"/>
      <c r="AD1" s="858"/>
      <c r="AE1" s="858"/>
      <c r="AF1" s="858"/>
    </row>
    <row r="2" spans="1:34" s="216" customFormat="1" ht="12.75" hidden="1" customHeight="1" x14ac:dyDescent="0.25"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8"/>
      <c r="T2" s="218"/>
      <c r="U2" s="218"/>
      <c r="V2" s="218"/>
      <c r="W2" s="218"/>
      <c r="X2" s="218"/>
      <c r="Y2" s="218"/>
      <c r="Z2" s="218"/>
      <c r="AA2" s="217"/>
      <c r="AB2" s="217"/>
      <c r="AC2" s="217"/>
      <c r="AD2" s="218"/>
      <c r="AE2" s="218"/>
      <c r="AF2" s="218"/>
      <c r="AH2" s="219"/>
    </row>
    <row r="3" spans="1:34" s="220" customFormat="1" ht="62.25" customHeight="1" x14ac:dyDescent="0.2">
      <c r="B3" s="859" t="s">
        <v>604</v>
      </c>
      <c r="C3" s="221" t="s">
        <v>267</v>
      </c>
      <c r="D3" s="221" t="s">
        <v>284</v>
      </c>
      <c r="E3" s="221" t="s">
        <v>277</v>
      </c>
      <c r="F3" s="221" t="s">
        <v>271</v>
      </c>
      <c r="G3" s="221" t="s">
        <v>605</v>
      </c>
      <c r="H3" s="221" t="s">
        <v>275</v>
      </c>
      <c r="I3" s="221" t="s">
        <v>768</v>
      </c>
      <c r="J3" s="221" t="s">
        <v>606</v>
      </c>
      <c r="K3" s="221" t="s">
        <v>607</v>
      </c>
      <c r="L3" s="221" t="s">
        <v>608</v>
      </c>
      <c r="M3" s="221" t="s">
        <v>191</v>
      </c>
      <c r="N3" s="221" t="s">
        <v>195</v>
      </c>
      <c r="O3" s="221" t="s">
        <v>726</v>
      </c>
      <c r="P3" s="221" t="s">
        <v>197</v>
      </c>
      <c r="Q3" s="221" t="s">
        <v>33</v>
      </c>
      <c r="R3" s="221" t="s">
        <v>99</v>
      </c>
      <c r="S3" s="221" t="s">
        <v>609</v>
      </c>
      <c r="T3" s="221" t="s">
        <v>610</v>
      </c>
      <c r="U3" s="221" t="s">
        <v>611</v>
      </c>
      <c r="V3" s="221" t="s">
        <v>612</v>
      </c>
      <c r="W3" s="221" t="s">
        <v>29</v>
      </c>
      <c r="X3" s="221" t="s">
        <v>613</v>
      </c>
      <c r="Y3" s="221" t="s">
        <v>103</v>
      </c>
      <c r="Z3" s="221" t="s">
        <v>227</v>
      </c>
      <c r="AA3" s="222" t="s">
        <v>203</v>
      </c>
      <c r="AB3" s="221" t="s">
        <v>614</v>
      </c>
      <c r="AC3" s="221" t="s">
        <v>145</v>
      </c>
      <c r="AD3" s="221" t="s">
        <v>577</v>
      </c>
      <c r="AE3" s="223" t="s">
        <v>615</v>
      </c>
      <c r="AF3" s="221" t="s">
        <v>616</v>
      </c>
      <c r="AG3" s="223" t="s">
        <v>617</v>
      </c>
      <c r="AH3" s="224"/>
    </row>
    <row r="4" spans="1:34" s="220" customFormat="1" ht="89.25" customHeight="1" x14ac:dyDescent="0.2">
      <c r="B4" s="860"/>
      <c r="C4" s="225" t="s">
        <v>618</v>
      </c>
      <c r="D4" s="225" t="s">
        <v>618</v>
      </c>
      <c r="E4" s="225" t="s">
        <v>618</v>
      </c>
      <c r="F4" s="225" t="s">
        <v>618</v>
      </c>
      <c r="G4" s="225" t="s">
        <v>618</v>
      </c>
      <c r="H4" s="225" t="s">
        <v>618</v>
      </c>
      <c r="I4" s="225" t="s">
        <v>618</v>
      </c>
      <c r="J4" s="225" t="s">
        <v>618</v>
      </c>
      <c r="K4" s="225" t="s">
        <v>618</v>
      </c>
      <c r="L4" s="225" t="s">
        <v>618</v>
      </c>
      <c r="M4" s="225" t="s">
        <v>618</v>
      </c>
      <c r="N4" s="225" t="s">
        <v>618</v>
      </c>
      <c r="O4" s="225" t="s">
        <v>618</v>
      </c>
      <c r="P4" s="225" t="s">
        <v>618</v>
      </c>
      <c r="Q4" s="225" t="s">
        <v>618</v>
      </c>
      <c r="R4" s="225" t="s">
        <v>618</v>
      </c>
      <c r="S4" s="225" t="s">
        <v>618</v>
      </c>
      <c r="T4" s="225" t="s">
        <v>618</v>
      </c>
      <c r="U4" s="225" t="s">
        <v>618</v>
      </c>
      <c r="V4" s="225" t="s">
        <v>618</v>
      </c>
      <c r="W4" s="225" t="s">
        <v>618</v>
      </c>
      <c r="X4" s="225" t="s">
        <v>618</v>
      </c>
      <c r="Y4" s="225" t="s">
        <v>618</v>
      </c>
      <c r="Z4" s="225" t="s">
        <v>618</v>
      </c>
      <c r="AA4" s="225" t="s">
        <v>618</v>
      </c>
      <c r="AB4" s="225" t="s">
        <v>618</v>
      </c>
      <c r="AC4" s="225" t="s">
        <v>618</v>
      </c>
      <c r="AD4" s="225" t="s">
        <v>618</v>
      </c>
      <c r="AE4" s="225" t="s">
        <v>618</v>
      </c>
      <c r="AF4" s="225" t="s">
        <v>618</v>
      </c>
      <c r="AG4" s="225" t="s">
        <v>618</v>
      </c>
      <c r="AH4" s="224"/>
    </row>
    <row r="5" spans="1:34" s="226" customFormat="1" ht="11.25" hidden="1" customHeight="1" x14ac:dyDescent="0.2">
      <c r="B5" s="227"/>
      <c r="C5" s="227">
        <v>3</v>
      </c>
      <c r="D5" s="227">
        <v>5</v>
      </c>
      <c r="E5" s="227">
        <v>7</v>
      </c>
      <c r="F5" s="227">
        <v>9</v>
      </c>
      <c r="G5" s="227">
        <v>11</v>
      </c>
      <c r="H5" s="227">
        <v>13</v>
      </c>
      <c r="I5" s="227">
        <v>15</v>
      </c>
      <c r="J5" s="227">
        <v>17</v>
      </c>
      <c r="K5" s="227">
        <v>19</v>
      </c>
      <c r="L5" s="227">
        <v>21</v>
      </c>
      <c r="M5" s="227">
        <v>23</v>
      </c>
      <c r="N5" s="227">
        <v>25</v>
      </c>
      <c r="O5" s="227">
        <v>27</v>
      </c>
      <c r="P5" s="227">
        <v>29</v>
      </c>
      <c r="Q5" s="227">
        <v>31</v>
      </c>
      <c r="R5" s="227">
        <v>33</v>
      </c>
      <c r="S5" s="227">
        <v>35</v>
      </c>
      <c r="T5" s="227">
        <v>37</v>
      </c>
      <c r="U5" s="227">
        <v>39</v>
      </c>
      <c r="V5" s="227">
        <v>41</v>
      </c>
      <c r="W5" s="227">
        <v>43</v>
      </c>
      <c r="X5" s="227">
        <v>45</v>
      </c>
      <c r="Y5" s="227">
        <v>47</v>
      </c>
      <c r="Z5" s="227">
        <v>49</v>
      </c>
      <c r="AA5" s="227">
        <v>51</v>
      </c>
      <c r="AB5" s="227">
        <v>53</v>
      </c>
      <c r="AC5" s="227">
        <v>55</v>
      </c>
      <c r="AD5" s="227">
        <v>57</v>
      </c>
      <c r="AE5" s="227">
        <v>59</v>
      </c>
      <c r="AF5" s="227">
        <v>61</v>
      </c>
      <c r="AG5" s="227">
        <v>63</v>
      </c>
      <c r="AH5" s="228"/>
    </row>
    <row r="6" spans="1:34" s="229" customFormat="1" ht="22.5" customHeight="1" x14ac:dyDescent="0.2">
      <c r="A6" s="229">
        <v>0</v>
      </c>
      <c r="B6" s="230" t="s">
        <v>619</v>
      </c>
      <c r="C6" s="231">
        <v>160</v>
      </c>
      <c r="D6" s="231">
        <v>35</v>
      </c>
      <c r="E6" s="231">
        <v>267</v>
      </c>
      <c r="F6" s="231">
        <v>0</v>
      </c>
      <c r="G6" s="231">
        <v>0</v>
      </c>
      <c r="H6" s="231">
        <v>0</v>
      </c>
      <c r="I6" s="231">
        <v>0</v>
      </c>
      <c r="J6" s="231">
        <v>102</v>
      </c>
      <c r="K6" s="231">
        <v>0</v>
      </c>
      <c r="L6" s="231">
        <v>43</v>
      </c>
      <c r="M6" s="231">
        <v>30</v>
      </c>
      <c r="N6" s="231">
        <v>132</v>
      </c>
      <c r="O6" s="231">
        <v>62</v>
      </c>
      <c r="P6" s="231">
        <v>10</v>
      </c>
      <c r="Q6" s="231">
        <v>0</v>
      </c>
      <c r="R6" s="231">
        <v>0</v>
      </c>
      <c r="S6" s="231">
        <v>0</v>
      </c>
      <c r="T6" s="231">
        <v>0</v>
      </c>
      <c r="U6" s="231">
        <v>0</v>
      </c>
      <c r="V6" s="231">
        <v>12</v>
      </c>
      <c r="W6" s="231">
        <v>0</v>
      </c>
      <c r="X6" s="231">
        <v>0</v>
      </c>
      <c r="Y6" s="231">
        <v>0</v>
      </c>
      <c r="Z6" s="231">
        <v>0</v>
      </c>
      <c r="AA6" s="231">
        <v>0</v>
      </c>
      <c r="AB6" s="231">
        <v>190</v>
      </c>
      <c r="AC6" s="231">
        <v>0</v>
      </c>
      <c r="AD6" s="231">
        <v>0</v>
      </c>
      <c r="AE6" s="231">
        <f t="shared" ref="AE6:AG6" si="0">AE7+AE8+AE9+AE10</f>
        <v>1043</v>
      </c>
      <c r="AF6" s="231">
        <f t="shared" si="0"/>
        <v>0</v>
      </c>
      <c r="AG6" s="231">
        <f t="shared" si="0"/>
        <v>1043</v>
      </c>
      <c r="AH6" s="232"/>
    </row>
    <row r="7" spans="1:34" s="226" customFormat="1" ht="13.5" customHeight="1" x14ac:dyDescent="0.2">
      <c r="A7" s="226">
        <v>1</v>
      </c>
      <c r="B7" s="227">
        <v>1</v>
      </c>
      <c r="C7" s="233">
        <v>50</v>
      </c>
      <c r="D7" s="233">
        <v>5</v>
      </c>
      <c r="E7" s="233">
        <v>119</v>
      </c>
      <c r="F7" s="233"/>
      <c r="G7" s="233"/>
      <c r="H7" s="233"/>
      <c r="I7" s="233"/>
      <c r="J7" s="233"/>
      <c r="K7" s="233"/>
      <c r="L7" s="233">
        <v>20</v>
      </c>
      <c r="M7" s="233">
        <v>15</v>
      </c>
      <c r="N7" s="233">
        <v>70</v>
      </c>
      <c r="O7" s="233">
        <v>25</v>
      </c>
      <c r="P7" s="233">
        <v>10</v>
      </c>
      <c r="Q7" s="233"/>
      <c r="R7" s="233"/>
      <c r="S7" s="233"/>
      <c r="T7" s="233"/>
      <c r="U7" s="233"/>
      <c r="V7" s="234">
        <v>12</v>
      </c>
      <c r="W7" s="234"/>
      <c r="X7" s="234"/>
      <c r="Y7" s="235"/>
      <c r="Z7" s="235"/>
      <c r="AA7" s="235"/>
      <c r="AB7" s="234">
        <v>150</v>
      </c>
      <c r="AC7" s="234"/>
      <c r="AD7" s="233"/>
      <c r="AE7" s="246">
        <f>C7+D7+E7+F7+G7+H7+I7+J7+K7+L7+M7+N7+O7+P7+Q7+R7+S7+T7+U7+V7+W7+X7+Y7+Z7+AA7+AB7+AC7+AD7</f>
        <v>476</v>
      </c>
      <c r="AF7" s="235"/>
      <c r="AG7" s="237">
        <f>AE7+AF7</f>
        <v>476</v>
      </c>
      <c r="AH7" s="228"/>
    </row>
    <row r="8" spans="1:34" s="226" customFormat="1" ht="13.5" customHeight="1" x14ac:dyDescent="0.2">
      <c r="A8" s="226">
        <v>2</v>
      </c>
      <c r="B8" s="227">
        <v>2</v>
      </c>
      <c r="C8" s="234">
        <v>110</v>
      </c>
      <c r="D8" s="234">
        <v>20</v>
      </c>
      <c r="E8" s="234">
        <v>148</v>
      </c>
      <c r="F8" s="233"/>
      <c r="G8" s="234"/>
      <c r="H8" s="238"/>
      <c r="I8" s="234"/>
      <c r="J8" s="234">
        <v>102</v>
      </c>
      <c r="K8" s="234"/>
      <c r="L8" s="233">
        <v>23</v>
      </c>
      <c r="M8" s="234">
        <v>15</v>
      </c>
      <c r="N8" s="233">
        <v>62</v>
      </c>
      <c r="O8" s="234">
        <v>37</v>
      </c>
      <c r="P8" s="233"/>
      <c r="Q8" s="234"/>
      <c r="R8" s="234"/>
      <c r="S8" s="234"/>
      <c r="T8" s="234"/>
      <c r="U8" s="233"/>
      <c r="V8" s="234"/>
      <c r="W8" s="234"/>
      <c r="X8" s="234"/>
      <c r="Y8" s="235"/>
      <c r="Z8" s="235"/>
      <c r="AA8" s="235"/>
      <c r="AB8" s="234">
        <v>40</v>
      </c>
      <c r="AC8" s="234"/>
      <c r="AD8" s="233"/>
      <c r="AE8" s="246">
        <f>C8+D8+E8+F8+G8+H8+I8+J8+K8+L8+M8+N8+O8+P8+Q8+R8+S8+T8+U8+V8+W8+X8+Y8+Z8+AA8+AB8+AC8+AD8</f>
        <v>557</v>
      </c>
      <c r="AF8" s="235"/>
      <c r="AG8" s="237">
        <f>AE8+AF8</f>
        <v>557</v>
      </c>
      <c r="AH8" s="228"/>
    </row>
    <row r="9" spans="1:34" s="226" customFormat="1" ht="13.5" customHeight="1" x14ac:dyDescent="0.2">
      <c r="A9" s="226">
        <v>3</v>
      </c>
      <c r="B9" s="227">
        <v>3</v>
      </c>
      <c r="C9" s="234"/>
      <c r="D9" s="234"/>
      <c r="E9" s="234"/>
      <c r="F9" s="233"/>
      <c r="G9" s="234"/>
      <c r="H9" s="238"/>
      <c r="I9" s="234"/>
      <c r="J9" s="234"/>
      <c r="K9" s="234"/>
      <c r="L9" s="233"/>
      <c r="M9" s="234"/>
      <c r="N9" s="233"/>
      <c r="O9" s="234"/>
      <c r="P9" s="233"/>
      <c r="Q9" s="234"/>
      <c r="R9" s="234"/>
      <c r="S9" s="234"/>
      <c r="T9" s="234"/>
      <c r="U9" s="233"/>
      <c r="V9" s="234"/>
      <c r="W9" s="234"/>
      <c r="X9" s="234"/>
      <c r="Y9" s="235"/>
      <c r="Z9" s="235"/>
      <c r="AA9" s="235"/>
      <c r="AB9" s="234"/>
      <c r="AC9" s="234"/>
      <c r="AD9" s="233"/>
      <c r="AE9" s="246">
        <f>C9+D9+E9+F9+G9+H9+I9+J9+K9+L9+M9+N9+O9+P9+Q9+R9+S9+T9+U9+V9+W9+X9+Y9+Z9+AA9+AB9+AC9+AD9</f>
        <v>0</v>
      </c>
      <c r="AF9" s="235"/>
      <c r="AG9" s="237">
        <f>AE9+AF9</f>
        <v>0</v>
      </c>
      <c r="AH9" s="228"/>
    </row>
    <row r="10" spans="1:34" s="226" customFormat="1" ht="13.5" customHeight="1" x14ac:dyDescent="0.2">
      <c r="A10" s="226">
        <v>4</v>
      </c>
      <c r="B10" s="227">
        <v>4</v>
      </c>
      <c r="C10" s="234"/>
      <c r="D10" s="234">
        <v>10</v>
      </c>
      <c r="E10" s="234"/>
      <c r="F10" s="233"/>
      <c r="G10" s="234"/>
      <c r="H10" s="238"/>
      <c r="I10" s="234"/>
      <c r="J10" s="234"/>
      <c r="K10" s="234"/>
      <c r="L10" s="233"/>
      <c r="M10" s="234"/>
      <c r="N10" s="233"/>
      <c r="O10" s="234"/>
      <c r="P10" s="233"/>
      <c r="Q10" s="234"/>
      <c r="R10" s="234"/>
      <c r="S10" s="234"/>
      <c r="T10" s="234"/>
      <c r="U10" s="233"/>
      <c r="V10" s="234"/>
      <c r="W10" s="234"/>
      <c r="X10" s="234"/>
      <c r="Y10" s="235"/>
      <c r="Z10" s="235"/>
      <c r="AA10" s="235"/>
      <c r="AB10" s="234"/>
      <c r="AC10" s="234"/>
      <c r="AD10" s="233"/>
      <c r="AE10" s="246">
        <f>C10+D10+E10+F10+G10+H10+I10+J10+K10+L10+M10+N10+O10+P10+Q10+R10+S10+T10+U10+V10+W10+X10+Y10+Z10+AA10+AB10+AC10+AD10</f>
        <v>10</v>
      </c>
      <c r="AF10" s="235"/>
      <c r="AG10" s="237">
        <f>AE10+AF10</f>
        <v>10</v>
      </c>
      <c r="AH10" s="228"/>
    </row>
    <row r="11" spans="1:34" s="226" customFormat="1" ht="22.5" customHeight="1" x14ac:dyDescent="0.2">
      <c r="A11" s="226">
        <v>0</v>
      </c>
      <c r="B11" s="230" t="s">
        <v>620</v>
      </c>
      <c r="C11" s="231">
        <v>60</v>
      </c>
      <c r="D11" s="231">
        <v>0</v>
      </c>
      <c r="E11" s="231">
        <v>0</v>
      </c>
      <c r="F11" s="231">
        <v>0</v>
      </c>
      <c r="G11" s="231">
        <v>0</v>
      </c>
      <c r="H11" s="231">
        <v>0</v>
      </c>
      <c r="I11" s="231">
        <v>0</v>
      </c>
      <c r="J11" s="231">
        <v>12</v>
      </c>
      <c r="K11" s="231">
        <v>0</v>
      </c>
      <c r="L11" s="231">
        <v>0</v>
      </c>
      <c r="M11" s="231">
        <v>0</v>
      </c>
      <c r="N11" s="231">
        <v>0</v>
      </c>
      <c r="O11" s="231">
        <v>9</v>
      </c>
      <c r="P11" s="231">
        <v>0</v>
      </c>
      <c r="Q11" s="231">
        <v>0</v>
      </c>
      <c r="R11" s="231">
        <v>0</v>
      </c>
      <c r="S11" s="231">
        <v>0</v>
      </c>
      <c r="T11" s="231">
        <v>0</v>
      </c>
      <c r="U11" s="231">
        <v>0</v>
      </c>
      <c r="V11" s="231">
        <v>0</v>
      </c>
      <c r="W11" s="231">
        <v>0</v>
      </c>
      <c r="X11" s="231">
        <v>0</v>
      </c>
      <c r="Y11" s="231">
        <v>0</v>
      </c>
      <c r="Z11" s="231">
        <v>0</v>
      </c>
      <c r="AA11" s="231">
        <v>0</v>
      </c>
      <c r="AB11" s="231">
        <v>0</v>
      </c>
      <c r="AC11" s="231">
        <v>0</v>
      </c>
      <c r="AD11" s="231">
        <v>0</v>
      </c>
      <c r="AE11" s="231">
        <f t="shared" ref="AE11:AG11" si="1">AE12</f>
        <v>81</v>
      </c>
      <c r="AF11" s="231">
        <f t="shared" si="1"/>
        <v>0</v>
      </c>
      <c r="AG11" s="231">
        <f t="shared" si="1"/>
        <v>81</v>
      </c>
      <c r="AH11" s="228"/>
    </row>
    <row r="12" spans="1:34" s="226" customFormat="1" ht="13.5" customHeight="1" x14ac:dyDescent="0.2">
      <c r="A12" s="226">
        <v>5</v>
      </c>
      <c r="B12" s="227">
        <v>5</v>
      </c>
      <c r="C12" s="234">
        <v>60</v>
      </c>
      <c r="D12" s="234"/>
      <c r="E12" s="234"/>
      <c r="F12" s="234"/>
      <c r="G12" s="234"/>
      <c r="H12" s="234"/>
      <c r="I12" s="234"/>
      <c r="J12" s="234">
        <v>12</v>
      </c>
      <c r="K12" s="234"/>
      <c r="L12" s="234"/>
      <c r="M12" s="234"/>
      <c r="N12" s="233"/>
      <c r="O12" s="234">
        <v>9</v>
      </c>
      <c r="P12" s="234"/>
      <c r="Q12" s="234"/>
      <c r="R12" s="234"/>
      <c r="S12" s="234"/>
      <c r="T12" s="234"/>
      <c r="U12" s="233"/>
      <c r="V12" s="234"/>
      <c r="W12" s="234"/>
      <c r="X12" s="234"/>
      <c r="Y12" s="235"/>
      <c r="Z12" s="235"/>
      <c r="AA12" s="235"/>
      <c r="AB12" s="234"/>
      <c r="AC12" s="234"/>
      <c r="AD12" s="233"/>
      <c r="AE12" s="246">
        <f>C12+D12+E12+F12+G12+H12+I12+J12+K12+L12+M12+N12+O12+P12+Q12+R12+S12+T12+U12+V12+W12+X12+Y12+Z12+AA12+AB12+AC12+AD12</f>
        <v>81</v>
      </c>
      <c r="AF12" s="235"/>
      <c r="AG12" s="236">
        <f>AE12+AF12</f>
        <v>81</v>
      </c>
      <c r="AH12" s="228"/>
    </row>
    <row r="13" spans="1:34" s="226" customFormat="1" ht="22.5" customHeight="1" x14ac:dyDescent="0.2">
      <c r="A13" s="226">
        <v>0</v>
      </c>
      <c r="B13" s="230" t="s">
        <v>621</v>
      </c>
      <c r="C13" s="231">
        <v>50</v>
      </c>
      <c r="D13" s="231">
        <v>0</v>
      </c>
      <c r="E13" s="231">
        <v>0</v>
      </c>
      <c r="F13" s="231">
        <v>0</v>
      </c>
      <c r="G13" s="231">
        <v>0</v>
      </c>
      <c r="H13" s="231">
        <v>0</v>
      </c>
      <c r="I13" s="231">
        <v>0</v>
      </c>
      <c r="J13" s="231">
        <v>17</v>
      </c>
      <c r="K13" s="231">
        <v>0</v>
      </c>
      <c r="L13" s="231">
        <v>0</v>
      </c>
      <c r="M13" s="231">
        <v>25</v>
      </c>
      <c r="N13" s="231">
        <v>0</v>
      </c>
      <c r="O13" s="231">
        <v>0</v>
      </c>
      <c r="P13" s="231">
        <v>0</v>
      </c>
      <c r="Q13" s="231">
        <v>0</v>
      </c>
      <c r="R13" s="231">
        <v>0</v>
      </c>
      <c r="S13" s="231">
        <v>0</v>
      </c>
      <c r="T13" s="231">
        <v>0</v>
      </c>
      <c r="U13" s="231">
        <v>0</v>
      </c>
      <c r="V13" s="231">
        <v>0</v>
      </c>
      <c r="W13" s="231">
        <v>0</v>
      </c>
      <c r="X13" s="231">
        <v>0</v>
      </c>
      <c r="Y13" s="231">
        <v>0</v>
      </c>
      <c r="Z13" s="231">
        <v>0</v>
      </c>
      <c r="AA13" s="231">
        <v>0</v>
      </c>
      <c r="AB13" s="231">
        <v>0</v>
      </c>
      <c r="AC13" s="231">
        <v>0</v>
      </c>
      <c r="AD13" s="231">
        <v>0</v>
      </c>
      <c r="AE13" s="231">
        <f t="shared" ref="AE13:AG13" si="2">AE14+AE15</f>
        <v>92</v>
      </c>
      <c r="AF13" s="231">
        <f t="shared" si="2"/>
        <v>0</v>
      </c>
      <c r="AG13" s="231">
        <f t="shared" si="2"/>
        <v>92</v>
      </c>
      <c r="AH13" s="228"/>
    </row>
    <row r="14" spans="1:34" s="226" customFormat="1" ht="13.5" customHeight="1" x14ac:dyDescent="0.2">
      <c r="A14" s="226">
        <v>6</v>
      </c>
      <c r="B14" s="227">
        <v>6</v>
      </c>
      <c r="C14" s="234">
        <v>50</v>
      </c>
      <c r="D14" s="234"/>
      <c r="E14" s="234"/>
      <c r="F14" s="233"/>
      <c r="G14" s="234"/>
      <c r="H14" s="234"/>
      <c r="I14" s="234"/>
      <c r="J14" s="234">
        <v>17</v>
      </c>
      <c r="K14" s="234"/>
      <c r="L14" s="234"/>
      <c r="M14" s="234">
        <v>25</v>
      </c>
      <c r="N14" s="233"/>
      <c r="O14" s="234"/>
      <c r="P14" s="234"/>
      <c r="Q14" s="234"/>
      <c r="R14" s="234"/>
      <c r="S14" s="234"/>
      <c r="T14" s="234"/>
      <c r="U14" s="233"/>
      <c r="V14" s="234"/>
      <c r="W14" s="234"/>
      <c r="X14" s="234"/>
      <c r="Y14" s="235"/>
      <c r="Z14" s="235"/>
      <c r="AA14" s="235"/>
      <c r="AB14" s="234"/>
      <c r="AC14" s="234"/>
      <c r="AD14" s="233"/>
      <c r="AE14" s="246">
        <f>C14+D14+E14+F14+G14+H14+I14+J14+K14+L14+M14+N14+O14+P14+Q14+R14+S14+T14+U14+V14+W14+X14+Y14+Z14+AA14+AB14+AC14+AD14</f>
        <v>92</v>
      </c>
      <c r="AF14" s="235"/>
      <c r="AG14" s="236">
        <f>AE14+AF14</f>
        <v>92</v>
      </c>
      <c r="AH14" s="228"/>
    </row>
    <row r="15" spans="1:34" s="226" customFormat="1" ht="13.5" customHeight="1" x14ac:dyDescent="0.2">
      <c r="A15" s="226">
        <v>7</v>
      </c>
      <c r="B15" s="227">
        <v>7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3"/>
      <c r="O15" s="234"/>
      <c r="P15" s="234"/>
      <c r="Q15" s="234"/>
      <c r="R15" s="234"/>
      <c r="S15" s="234"/>
      <c r="T15" s="234"/>
      <c r="U15" s="233"/>
      <c r="V15" s="234"/>
      <c r="W15" s="234"/>
      <c r="X15" s="234"/>
      <c r="Y15" s="235"/>
      <c r="Z15" s="235"/>
      <c r="AA15" s="235"/>
      <c r="AB15" s="234"/>
      <c r="AC15" s="234"/>
      <c r="AD15" s="233"/>
      <c r="AE15" s="246">
        <f>C15+D15+E15+F15+G15+H15+I15+J15+K15+L15+M15+N15+O15+P15+Q15+R15+S15+T15+U15+V15+W15+X15+Y15+Z15+AA15+AB15+AC15+AD15</f>
        <v>0</v>
      </c>
      <c r="AF15" s="235"/>
      <c r="AG15" s="236">
        <f>AE15+AF15</f>
        <v>0</v>
      </c>
      <c r="AH15" s="228"/>
    </row>
    <row r="16" spans="1:34" s="226" customFormat="1" ht="22.5" customHeight="1" x14ac:dyDescent="0.2">
      <c r="A16" s="226">
        <v>0</v>
      </c>
      <c r="B16" s="230" t="s">
        <v>622</v>
      </c>
      <c r="C16" s="231">
        <v>0</v>
      </c>
      <c r="D16" s="231">
        <v>0</v>
      </c>
      <c r="E16" s="231">
        <v>0</v>
      </c>
      <c r="F16" s="231">
        <v>0</v>
      </c>
      <c r="G16" s="231">
        <v>0</v>
      </c>
      <c r="H16" s="231">
        <v>0</v>
      </c>
      <c r="I16" s="231">
        <v>0</v>
      </c>
      <c r="J16" s="231">
        <v>8</v>
      </c>
      <c r="K16" s="231">
        <v>0</v>
      </c>
      <c r="L16" s="231">
        <v>0</v>
      </c>
      <c r="M16" s="231">
        <v>0</v>
      </c>
      <c r="N16" s="231">
        <v>0</v>
      </c>
      <c r="O16" s="231">
        <v>0</v>
      </c>
      <c r="P16" s="231">
        <v>0</v>
      </c>
      <c r="Q16" s="231">
        <v>0</v>
      </c>
      <c r="R16" s="231">
        <v>0</v>
      </c>
      <c r="S16" s="231">
        <v>0</v>
      </c>
      <c r="T16" s="231">
        <v>0</v>
      </c>
      <c r="U16" s="231">
        <v>0</v>
      </c>
      <c r="V16" s="231">
        <v>0</v>
      </c>
      <c r="W16" s="231">
        <v>0</v>
      </c>
      <c r="X16" s="231">
        <v>0</v>
      </c>
      <c r="Y16" s="231">
        <v>0</v>
      </c>
      <c r="Z16" s="231">
        <v>0</v>
      </c>
      <c r="AA16" s="231">
        <v>0</v>
      </c>
      <c r="AB16" s="231">
        <v>0</v>
      </c>
      <c r="AC16" s="231">
        <v>0</v>
      </c>
      <c r="AD16" s="231">
        <v>0</v>
      </c>
      <c r="AE16" s="231">
        <f t="shared" ref="AE16:AG16" si="3">AE17</f>
        <v>8</v>
      </c>
      <c r="AF16" s="231">
        <f t="shared" si="3"/>
        <v>0</v>
      </c>
      <c r="AG16" s="231">
        <f t="shared" si="3"/>
        <v>8</v>
      </c>
      <c r="AH16" s="228"/>
    </row>
    <row r="17" spans="1:34" s="239" customFormat="1" ht="13.5" customHeight="1" x14ac:dyDescent="0.2">
      <c r="A17" s="239">
        <v>8</v>
      </c>
      <c r="B17" s="227">
        <v>8</v>
      </c>
      <c r="C17" s="234"/>
      <c r="D17" s="234"/>
      <c r="E17" s="234"/>
      <c r="F17" s="234"/>
      <c r="G17" s="234"/>
      <c r="H17" s="234"/>
      <c r="I17" s="234"/>
      <c r="J17" s="234">
        <v>8</v>
      </c>
      <c r="K17" s="234"/>
      <c r="L17" s="234"/>
      <c r="M17" s="234"/>
      <c r="N17" s="233"/>
      <c r="O17" s="234"/>
      <c r="P17" s="234"/>
      <c r="Q17" s="234"/>
      <c r="R17" s="234"/>
      <c r="S17" s="234"/>
      <c r="T17" s="234"/>
      <c r="U17" s="233"/>
      <c r="V17" s="234"/>
      <c r="W17" s="234"/>
      <c r="X17" s="233"/>
      <c r="Y17" s="240"/>
      <c r="Z17" s="240"/>
      <c r="AA17" s="240"/>
      <c r="AB17" s="234"/>
      <c r="AC17" s="234"/>
      <c r="AD17" s="233"/>
      <c r="AE17" s="246">
        <f>C17+D17+E17+F17+G17+H17+I17+J17+K17+L17+M17+N17+O17+P17+Q17+R17+S17+T17+U17+V17+W17+X17+Y17+Z17+AA17+AB17+AC17+AD17</f>
        <v>8</v>
      </c>
      <c r="AF17" s="240"/>
      <c r="AG17" s="233">
        <f>AE17+AF17</f>
        <v>8</v>
      </c>
      <c r="AH17" s="241"/>
    </row>
    <row r="18" spans="1:34" s="226" customFormat="1" ht="22.5" customHeight="1" x14ac:dyDescent="0.2">
      <c r="A18" s="226">
        <v>0</v>
      </c>
      <c r="B18" s="230" t="s">
        <v>623</v>
      </c>
      <c r="C18" s="231">
        <v>0</v>
      </c>
      <c r="D18" s="231">
        <v>0</v>
      </c>
      <c r="E18" s="231">
        <v>0</v>
      </c>
      <c r="F18" s="231">
        <v>0</v>
      </c>
      <c r="G18" s="231">
        <v>0</v>
      </c>
      <c r="H18" s="231">
        <v>52</v>
      </c>
      <c r="I18" s="231">
        <v>0</v>
      </c>
      <c r="J18" s="231">
        <v>0</v>
      </c>
      <c r="K18" s="231">
        <v>0</v>
      </c>
      <c r="L18" s="231">
        <v>0</v>
      </c>
      <c r="M18" s="231">
        <v>0</v>
      </c>
      <c r="N18" s="231">
        <v>0</v>
      </c>
      <c r="O18" s="231">
        <v>0</v>
      </c>
      <c r="P18" s="231">
        <v>0</v>
      </c>
      <c r="Q18" s="231">
        <v>0</v>
      </c>
      <c r="R18" s="231">
        <v>0</v>
      </c>
      <c r="S18" s="231">
        <v>0</v>
      </c>
      <c r="T18" s="231">
        <v>0</v>
      </c>
      <c r="U18" s="231">
        <v>0</v>
      </c>
      <c r="V18" s="231">
        <v>0</v>
      </c>
      <c r="W18" s="231">
        <v>0</v>
      </c>
      <c r="X18" s="231">
        <v>0</v>
      </c>
      <c r="Y18" s="231">
        <v>0</v>
      </c>
      <c r="Z18" s="231">
        <v>0</v>
      </c>
      <c r="AA18" s="231">
        <v>0</v>
      </c>
      <c r="AB18" s="231">
        <v>0</v>
      </c>
      <c r="AC18" s="231">
        <v>0</v>
      </c>
      <c r="AD18" s="231">
        <v>0</v>
      </c>
      <c r="AE18" s="231">
        <f t="shared" ref="AE18:AG18" si="4">AE19</f>
        <v>52</v>
      </c>
      <c r="AF18" s="231">
        <f t="shared" si="4"/>
        <v>0</v>
      </c>
      <c r="AG18" s="231">
        <f t="shared" si="4"/>
        <v>52</v>
      </c>
      <c r="AH18" s="228"/>
    </row>
    <row r="19" spans="1:34" s="226" customFormat="1" ht="13.5" customHeight="1" x14ac:dyDescent="0.2">
      <c r="A19" s="226">
        <v>9</v>
      </c>
      <c r="B19" s="227">
        <v>9</v>
      </c>
      <c r="C19" s="234"/>
      <c r="D19" s="234"/>
      <c r="E19" s="234"/>
      <c r="F19" s="234"/>
      <c r="G19" s="234"/>
      <c r="H19" s="234">
        <v>52</v>
      </c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3"/>
      <c r="V19" s="234"/>
      <c r="W19" s="234"/>
      <c r="X19" s="234"/>
      <c r="Y19" s="235"/>
      <c r="Z19" s="235"/>
      <c r="AA19" s="235"/>
      <c r="AB19" s="234"/>
      <c r="AC19" s="234"/>
      <c r="AD19" s="233"/>
      <c r="AE19" s="246">
        <f>C19+D19+E19+F19+G19+H19+I19+J19+K19+L19+M19+N19+O19+P19+Q19+R19+S19+T19+U19+V19+W19+X19+Y19+Z19+AA19+AB19+AC19+AD19</f>
        <v>52</v>
      </c>
      <c r="AF19" s="235"/>
      <c r="AG19" s="236">
        <f>AE19+AF19</f>
        <v>52</v>
      </c>
      <c r="AH19" s="228"/>
    </row>
    <row r="20" spans="1:34" s="226" customFormat="1" ht="22.5" customHeight="1" x14ac:dyDescent="0.2">
      <c r="A20" s="226">
        <v>0</v>
      </c>
      <c r="B20" s="230" t="s">
        <v>624</v>
      </c>
      <c r="C20" s="231">
        <v>0</v>
      </c>
      <c r="D20" s="231">
        <v>0</v>
      </c>
      <c r="E20" s="231">
        <v>0</v>
      </c>
      <c r="F20" s="231">
        <v>0</v>
      </c>
      <c r="G20" s="231">
        <v>0</v>
      </c>
      <c r="H20" s="231">
        <v>0</v>
      </c>
      <c r="I20" s="231">
        <v>0</v>
      </c>
      <c r="J20" s="231">
        <v>0</v>
      </c>
      <c r="K20" s="231">
        <v>0</v>
      </c>
      <c r="L20" s="231">
        <v>0</v>
      </c>
      <c r="M20" s="231">
        <v>0</v>
      </c>
      <c r="N20" s="231">
        <v>135</v>
      </c>
      <c r="O20" s="231">
        <v>0</v>
      </c>
      <c r="P20" s="231">
        <v>0</v>
      </c>
      <c r="Q20" s="231">
        <v>0</v>
      </c>
      <c r="R20" s="231">
        <v>0</v>
      </c>
      <c r="S20" s="231">
        <v>30</v>
      </c>
      <c r="T20" s="231">
        <v>0</v>
      </c>
      <c r="U20" s="231">
        <v>0</v>
      </c>
      <c r="V20" s="231">
        <v>0</v>
      </c>
      <c r="W20" s="231">
        <v>0</v>
      </c>
      <c r="X20" s="231">
        <v>0</v>
      </c>
      <c r="Y20" s="231">
        <v>0</v>
      </c>
      <c r="Z20" s="231">
        <v>0</v>
      </c>
      <c r="AA20" s="231">
        <v>0</v>
      </c>
      <c r="AB20" s="231">
        <v>0</v>
      </c>
      <c r="AC20" s="231">
        <v>0</v>
      </c>
      <c r="AD20" s="231">
        <v>0</v>
      </c>
      <c r="AE20" s="231">
        <f t="shared" ref="AE20:AG20" si="5">AE21+AE22</f>
        <v>165</v>
      </c>
      <c r="AF20" s="231">
        <f t="shared" si="5"/>
        <v>0</v>
      </c>
      <c r="AG20" s="231">
        <f t="shared" si="5"/>
        <v>165</v>
      </c>
      <c r="AH20" s="228"/>
    </row>
    <row r="21" spans="1:34" s="226" customFormat="1" ht="13.5" customHeight="1" x14ac:dyDescent="0.2">
      <c r="A21" s="226">
        <v>10</v>
      </c>
      <c r="B21" s="227">
        <v>10</v>
      </c>
      <c r="C21" s="234"/>
      <c r="D21" s="234"/>
      <c r="E21" s="234"/>
      <c r="F21" s="234"/>
      <c r="G21" s="234"/>
      <c r="H21" s="238"/>
      <c r="I21" s="234"/>
      <c r="J21" s="234"/>
      <c r="K21" s="234"/>
      <c r="L21" s="238"/>
      <c r="M21" s="234"/>
      <c r="N21" s="234">
        <v>100</v>
      </c>
      <c r="O21" s="238"/>
      <c r="P21" s="238"/>
      <c r="Q21" s="234"/>
      <c r="R21" s="233"/>
      <c r="S21" s="234">
        <v>30</v>
      </c>
      <c r="T21" s="234"/>
      <c r="U21" s="233"/>
      <c r="V21" s="234"/>
      <c r="W21" s="234"/>
      <c r="X21" s="234"/>
      <c r="Y21" s="235"/>
      <c r="Z21" s="235"/>
      <c r="AA21" s="235"/>
      <c r="AB21" s="234"/>
      <c r="AC21" s="234"/>
      <c r="AD21" s="233"/>
      <c r="AE21" s="246">
        <f>C21+D21+E21+F21+G21+H21+I21+J21+K21+L21+M21+N21+O21+P21+Q21+R21+S21+T21+U21+V21+W21+X21+Y21+Z21+AA21+AB21+AC21+AD21</f>
        <v>130</v>
      </c>
      <c r="AF21" s="235"/>
      <c r="AG21" s="236">
        <f>AE21+AF21</f>
        <v>130</v>
      </c>
      <c r="AH21" s="228"/>
    </row>
    <row r="22" spans="1:34" s="226" customFormat="1" ht="13.5" customHeight="1" x14ac:dyDescent="0.2">
      <c r="A22" s="226">
        <v>11</v>
      </c>
      <c r="B22" s="227">
        <v>11</v>
      </c>
      <c r="C22" s="242"/>
      <c r="D22" s="242"/>
      <c r="E22" s="242"/>
      <c r="F22" s="242"/>
      <c r="G22" s="242"/>
      <c r="H22" s="243"/>
      <c r="I22" s="242"/>
      <c r="J22" s="242"/>
      <c r="K22" s="242"/>
      <c r="L22" s="243"/>
      <c r="M22" s="242"/>
      <c r="N22" s="234">
        <v>35</v>
      </c>
      <c r="O22" s="243"/>
      <c r="P22" s="243"/>
      <c r="Q22" s="242"/>
      <c r="R22" s="233"/>
      <c r="S22" s="242"/>
      <c r="T22" s="242"/>
      <c r="U22" s="233"/>
      <c r="V22" s="234"/>
      <c r="W22" s="234"/>
      <c r="X22" s="234"/>
      <c r="Y22" s="235"/>
      <c r="Z22" s="235"/>
      <c r="AA22" s="235"/>
      <c r="AB22" s="234"/>
      <c r="AC22" s="234"/>
      <c r="AD22" s="233"/>
      <c r="AE22" s="246">
        <f>C22+D22+E22+F22+G22+H22+I22+J22+K22+L22+M22+N22+O22+P22+Q22+R22+S22+T22+U22+V22+W22+X22+Y22+Z22+AA22+AB22+AC22+AD22</f>
        <v>35</v>
      </c>
      <c r="AF22" s="235"/>
      <c r="AG22" s="236">
        <f>AE22+AF22</f>
        <v>35</v>
      </c>
      <c r="AH22" s="228"/>
    </row>
    <row r="23" spans="1:34" s="239" customFormat="1" ht="22.5" customHeight="1" x14ac:dyDescent="0.2">
      <c r="A23" s="239">
        <v>0</v>
      </c>
      <c r="B23" s="230" t="s">
        <v>625</v>
      </c>
      <c r="C23" s="231">
        <v>676</v>
      </c>
      <c r="D23" s="231">
        <v>504</v>
      </c>
      <c r="E23" s="231">
        <v>0</v>
      </c>
      <c r="F23" s="231">
        <v>0</v>
      </c>
      <c r="G23" s="231">
        <v>100</v>
      </c>
      <c r="H23" s="231">
        <v>0</v>
      </c>
      <c r="I23" s="231">
        <v>0</v>
      </c>
      <c r="J23" s="231">
        <v>154</v>
      </c>
      <c r="K23" s="231">
        <v>33</v>
      </c>
      <c r="L23" s="231">
        <v>0</v>
      </c>
      <c r="M23" s="231">
        <v>0</v>
      </c>
      <c r="N23" s="231">
        <v>0</v>
      </c>
      <c r="O23" s="231">
        <v>252</v>
      </c>
      <c r="P23" s="231">
        <v>0</v>
      </c>
      <c r="Q23" s="231">
        <v>12</v>
      </c>
      <c r="R23" s="231">
        <v>14</v>
      </c>
      <c r="S23" s="231">
        <v>218</v>
      </c>
      <c r="T23" s="231">
        <v>25</v>
      </c>
      <c r="U23" s="231">
        <v>0</v>
      </c>
      <c r="V23" s="231">
        <v>0</v>
      </c>
      <c r="W23" s="231">
        <v>0</v>
      </c>
      <c r="X23" s="231">
        <v>0</v>
      </c>
      <c r="Y23" s="231">
        <v>0</v>
      </c>
      <c r="Z23" s="231">
        <v>0</v>
      </c>
      <c r="AA23" s="231">
        <v>0</v>
      </c>
      <c r="AB23" s="231">
        <v>0</v>
      </c>
      <c r="AC23" s="231">
        <v>0</v>
      </c>
      <c r="AD23" s="231">
        <v>0</v>
      </c>
      <c r="AE23" s="231">
        <f t="shared" ref="AE23:AG23" si="6">SUM(AE24:AE30)</f>
        <v>1988</v>
      </c>
      <c r="AF23" s="231">
        <f t="shared" si="6"/>
        <v>0</v>
      </c>
      <c r="AG23" s="231">
        <f t="shared" si="6"/>
        <v>1988</v>
      </c>
      <c r="AH23" s="241"/>
    </row>
    <row r="24" spans="1:34" s="226" customFormat="1" ht="13.5" customHeight="1" x14ac:dyDescent="0.2">
      <c r="A24" s="226">
        <v>12</v>
      </c>
      <c r="B24" s="227">
        <v>12</v>
      </c>
      <c r="C24" s="233">
        <v>641</v>
      </c>
      <c r="D24" s="233">
        <v>488</v>
      </c>
      <c r="E24" s="233"/>
      <c r="F24" s="233"/>
      <c r="G24" s="233">
        <v>100</v>
      </c>
      <c r="H24" s="233"/>
      <c r="I24" s="233"/>
      <c r="J24" s="233">
        <v>92</v>
      </c>
      <c r="K24" s="244">
        <v>15</v>
      </c>
      <c r="L24" s="233"/>
      <c r="M24" s="233"/>
      <c r="N24" s="234"/>
      <c r="O24" s="233">
        <v>218</v>
      </c>
      <c r="P24" s="233"/>
      <c r="Q24" s="233">
        <v>5</v>
      </c>
      <c r="R24" s="233"/>
      <c r="S24" s="233">
        <v>188</v>
      </c>
      <c r="T24" s="234">
        <v>2</v>
      </c>
      <c r="U24" s="234"/>
      <c r="V24" s="234"/>
      <c r="W24" s="234"/>
      <c r="X24" s="234"/>
      <c r="Y24" s="235"/>
      <c r="Z24" s="235"/>
      <c r="AA24" s="235"/>
      <c r="AB24" s="234"/>
      <c r="AC24" s="234"/>
      <c r="AD24" s="233"/>
      <c r="AE24" s="246">
        <f t="shared" ref="AE24:AE30" si="7">C24+D24+E24+F24+G24+H24+I24+J24+K24+L24+M24+N24+O24+P24+Q24+R24+S24+T24+U24+V24+W24+X24+Y24+Z24+AA24+AB24+AC24+AD24</f>
        <v>1749</v>
      </c>
      <c r="AF24" s="235"/>
      <c r="AG24" s="236">
        <f t="shared" ref="AG24:AG30" si="8">AE24+AF24</f>
        <v>1749</v>
      </c>
      <c r="AH24" s="228"/>
    </row>
    <row r="25" spans="1:34" s="226" customFormat="1" ht="13.5" customHeight="1" x14ac:dyDescent="0.2">
      <c r="A25" s="226">
        <v>13</v>
      </c>
      <c r="B25" s="227">
        <v>13</v>
      </c>
      <c r="C25" s="233"/>
      <c r="D25" s="233"/>
      <c r="E25" s="233"/>
      <c r="F25" s="233"/>
      <c r="G25" s="233"/>
      <c r="H25" s="245"/>
      <c r="I25" s="233"/>
      <c r="J25" s="233"/>
      <c r="K25" s="244"/>
      <c r="L25" s="245"/>
      <c r="M25" s="233"/>
      <c r="N25" s="234"/>
      <c r="O25" s="245"/>
      <c r="P25" s="245"/>
      <c r="Q25" s="233"/>
      <c r="R25" s="233"/>
      <c r="S25" s="233"/>
      <c r="T25" s="234"/>
      <c r="U25" s="234"/>
      <c r="V25" s="234"/>
      <c r="W25" s="234"/>
      <c r="X25" s="234"/>
      <c r="Y25" s="235"/>
      <c r="Z25" s="235"/>
      <c r="AA25" s="235"/>
      <c r="AB25" s="234"/>
      <c r="AC25" s="234"/>
      <c r="AD25" s="233"/>
      <c r="AE25" s="246">
        <f t="shared" si="7"/>
        <v>0</v>
      </c>
      <c r="AF25" s="235"/>
      <c r="AG25" s="236">
        <f t="shared" si="8"/>
        <v>0</v>
      </c>
      <c r="AH25" s="228"/>
    </row>
    <row r="26" spans="1:34" s="226" customFormat="1" ht="13.5" customHeight="1" x14ac:dyDescent="0.2">
      <c r="A26" s="226">
        <v>14</v>
      </c>
      <c r="B26" s="227">
        <v>14</v>
      </c>
      <c r="C26" s="234">
        <v>7</v>
      </c>
      <c r="D26" s="234">
        <v>1</v>
      </c>
      <c r="E26" s="234"/>
      <c r="F26" s="234"/>
      <c r="G26" s="234"/>
      <c r="H26" s="238"/>
      <c r="I26" s="234"/>
      <c r="J26" s="234"/>
      <c r="K26" s="244"/>
      <c r="L26" s="238"/>
      <c r="M26" s="234"/>
      <c r="N26" s="234"/>
      <c r="O26" s="234">
        <v>8</v>
      </c>
      <c r="P26" s="238"/>
      <c r="Q26" s="234"/>
      <c r="R26" s="234"/>
      <c r="S26" s="234">
        <v>10</v>
      </c>
      <c r="T26" s="234"/>
      <c r="U26" s="234"/>
      <c r="V26" s="234"/>
      <c r="W26" s="234"/>
      <c r="X26" s="234"/>
      <c r="Y26" s="235"/>
      <c r="Z26" s="235"/>
      <c r="AA26" s="235"/>
      <c r="AB26" s="234"/>
      <c r="AC26" s="234"/>
      <c r="AD26" s="233"/>
      <c r="AE26" s="246">
        <f t="shared" si="7"/>
        <v>26</v>
      </c>
      <c r="AF26" s="235"/>
      <c r="AG26" s="236">
        <f t="shared" si="8"/>
        <v>26</v>
      </c>
      <c r="AH26" s="228"/>
    </row>
    <row r="27" spans="1:34" s="226" customFormat="1" ht="13.5" customHeight="1" x14ac:dyDescent="0.2">
      <c r="A27" s="226">
        <v>15</v>
      </c>
      <c r="B27" s="227">
        <v>15</v>
      </c>
      <c r="C27" s="242"/>
      <c r="D27" s="242"/>
      <c r="E27" s="242"/>
      <c r="F27" s="242"/>
      <c r="G27" s="242"/>
      <c r="H27" s="243"/>
      <c r="I27" s="242"/>
      <c r="J27" s="242">
        <v>59</v>
      </c>
      <c r="K27" s="244">
        <v>18</v>
      </c>
      <c r="L27" s="243"/>
      <c r="M27" s="242"/>
      <c r="N27" s="234"/>
      <c r="O27" s="243"/>
      <c r="P27" s="243"/>
      <c r="Q27" s="234"/>
      <c r="R27" s="242"/>
      <c r="S27" s="242"/>
      <c r="T27" s="234"/>
      <c r="U27" s="234"/>
      <c r="V27" s="234"/>
      <c r="W27" s="234"/>
      <c r="X27" s="234"/>
      <c r="Y27" s="235"/>
      <c r="Z27" s="235"/>
      <c r="AA27" s="235"/>
      <c r="AB27" s="234"/>
      <c r="AC27" s="234"/>
      <c r="AD27" s="233"/>
      <c r="AE27" s="246">
        <f t="shared" si="7"/>
        <v>77</v>
      </c>
      <c r="AF27" s="235"/>
      <c r="AG27" s="236">
        <f t="shared" si="8"/>
        <v>77</v>
      </c>
      <c r="AH27" s="228"/>
    </row>
    <row r="28" spans="1:34" s="226" customFormat="1" ht="13.5" customHeight="1" x14ac:dyDescent="0.2">
      <c r="A28" s="226">
        <v>16</v>
      </c>
      <c r="B28" s="227">
        <v>16</v>
      </c>
      <c r="C28" s="234">
        <v>18</v>
      </c>
      <c r="D28" s="234"/>
      <c r="E28" s="234"/>
      <c r="F28" s="234"/>
      <c r="G28" s="234"/>
      <c r="H28" s="238"/>
      <c r="I28" s="234"/>
      <c r="J28" s="234"/>
      <c r="K28" s="244"/>
      <c r="L28" s="238"/>
      <c r="M28" s="234"/>
      <c r="N28" s="234"/>
      <c r="O28" s="238">
        <v>12</v>
      </c>
      <c r="P28" s="238"/>
      <c r="Q28" s="234">
        <v>7</v>
      </c>
      <c r="R28" s="234">
        <v>14</v>
      </c>
      <c r="S28" s="234">
        <v>5</v>
      </c>
      <c r="T28" s="234">
        <v>23</v>
      </c>
      <c r="U28" s="234"/>
      <c r="V28" s="234"/>
      <c r="W28" s="234"/>
      <c r="X28" s="234"/>
      <c r="Y28" s="235"/>
      <c r="Z28" s="235"/>
      <c r="AA28" s="235"/>
      <c r="AB28" s="234"/>
      <c r="AC28" s="234"/>
      <c r="AD28" s="233"/>
      <c r="AE28" s="246">
        <f t="shared" si="7"/>
        <v>79</v>
      </c>
      <c r="AF28" s="235"/>
      <c r="AG28" s="236">
        <f t="shared" si="8"/>
        <v>79</v>
      </c>
      <c r="AH28" s="228"/>
    </row>
    <row r="29" spans="1:34" s="226" customFormat="1" ht="13.5" customHeight="1" x14ac:dyDescent="0.2">
      <c r="A29" s="226">
        <v>17</v>
      </c>
      <c r="B29" s="227">
        <v>17</v>
      </c>
      <c r="C29" s="234">
        <v>5</v>
      </c>
      <c r="D29" s="234">
        <v>15</v>
      </c>
      <c r="E29" s="234"/>
      <c r="F29" s="234"/>
      <c r="G29" s="234"/>
      <c r="H29" s="238"/>
      <c r="I29" s="234"/>
      <c r="J29" s="244"/>
      <c r="K29" s="244"/>
      <c r="L29" s="238"/>
      <c r="M29" s="234"/>
      <c r="N29" s="234"/>
      <c r="O29" s="234">
        <v>14</v>
      </c>
      <c r="P29" s="238"/>
      <c r="Q29" s="234"/>
      <c r="R29" s="234"/>
      <c r="S29" s="234">
        <v>15</v>
      </c>
      <c r="T29" s="234"/>
      <c r="U29" s="234"/>
      <c r="V29" s="234"/>
      <c r="W29" s="234"/>
      <c r="X29" s="234"/>
      <c r="Y29" s="235"/>
      <c r="Z29" s="235"/>
      <c r="AA29" s="235"/>
      <c r="AB29" s="234"/>
      <c r="AC29" s="234"/>
      <c r="AD29" s="234"/>
      <c r="AE29" s="246">
        <f t="shared" si="7"/>
        <v>49</v>
      </c>
      <c r="AF29" s="235"/>
      <c r="AG29" s="246">
        <f t="shared" si="8"/>
        <v>49</v>
      </c>
      <c r="AH29" s="228"/>
    </row>
    <row r="30" spans="1:34" s="226" customFormat="1" ht="13.5" customHeight="1" x14ac:dyDescent="0.2">
      <c r="B30" s="227">
        <v>18</v>
      </c>
      <c r="C30" s="234">
        <v>5</v>
      </c>
      <c r="D30" s="234"/>
      <c r="E30" s="234"/>
      <c r="F30" s="234"/>
      <c r="G30" s="234"/>
      <c r="H30" s="238"/>
      <c r="I30" s="234"/>
      <c r="J30" s="244">
        <v>3</v>
      </c>
      <c r="K30" s="244"/>
      <c r="L30" s="238"/>
      <c r="M30" s="234"/>
      <c r="N30" s="234"/>
      <c r="O30" s="234"/>
      <c r="P30" s="238"/>
      <c r="Q30" s="234"/>
      <c r="R30" s="234"/>
      <c r="S30" s="234"/>
      <c r="T30" s="234"/>
      <c r="U30" s="234"/>
      <c r="V30" s="234"/>
      <c r="W30" s="234"/>
      <c r="X30" s="234"/>
      <c r="Y30" s="235"/>
      <c r="Z30" s="235"/>
      <c r="AA30" s="235"/>
      <c r="AB30" s="234"/>
      <c r="AC30" s="234"/>
      <c r="AD30" s="234"/>
      <c r="AE30" s="246">
        <f t="shared" si="7"/>
        <v>8</v>
      </c>
      <c r="AF30" s="235"/>
      <c r="AG30" s="246">
        <f t="shared" si="8"/>
        <v>8</v>
      </c>
      <c r="AH30" s="228"/>
    </row>
    <row r="31" spans="1:34" s="239" customFormat="1" ht="22.5" customHeight="1" x14ac:dyDescent="0.2">
      <c r="A31" s="239">
        <v>0</v>
      </c>
      <c r="B31" s="230" t="s">
        <v>626</v>
      </c>
      <c r="C31" s="231">
        <v>112</v>
      </c>
      <c r="D31" s="231">
        <v>0</v>
      </c>
      <c r="E31" s="231">
        <v>638</v>
      </c>
      <c r="F31" s="231">
        <v>0</v>
      </c>
      <c r="G31" s="231">
        <v>0</v>
      </c>
      <c r="H31" s="231">
        <v>0</v>
      </c>
      <c r="I31" s="231">
        <v>0</v>
      </c>
      <c r="J31" s="231">
        <v>98</v>
      </c>
      <c r="K31" s="231">
        <v>93</v>
      </c>
      <c r="L31" s="231">
        <v>0</v>
      </c>
      <c r="M31" s="231">
        <v>0</v>
      </c>
      <c r="N31" s="231">
        <v>0</v>
      </c>
      <c r="O31" s="231">
        <v>0</v>
      </c>
      <c r="P31" s="231">
        <v>90</v>
      </c>
      <c r="Q31" s="231">
        <v>0</v>
      </c>
      <c r="R31" s="231">
        <v>0</v>
      </c>
      <c r="S31" s="231">
        <v>0</v>
      </c>
      <c r="T31" s="231">
        <v>0</v>
      </c>
      <c r="U31" s="231">
        <v>0</v>
      </c>
      <c r="V31" s="231">
        <v>0</v>
      </c>
      <c r="W31" s="231">
        <v>0</v>
      </c>
      <c r="X31" s="231">
        <v>0</v>
      </c>
      <c r="Y31" s="231">
        <v>0</v>
      </c>
      <c r="Z31" s="231">
        <v>0</v>
      </c>
      <c r="AA31" s="231">
        <v>0</v>
      </c>
      <c r="AB31" s="231">
        <v>0</v>
      </c>
      <c r="AC31" s="231">
        <v>0</v>
      </c>
      <c r="AD31" s="231">
        <v>0</v>
      </c>
      <c r="AE31" s="231">
        <f t="shared" ref="AE31:AF31" si="9">SUM(AE32:AE33)</f>
        <v>1031</v>
      </c>
      <c r="AF31" s="231">
        <f t="shared" si="9"/>
        <v>0</v>
      </c>
      <c r="AG31" s="231">
        <f>SUM(AG32:AG33)</f>
        <v>1031</v>
      </c>
      <c r="AH31" s="241"/>
    </row>
    <row r="32" spans="1:34" s="226" customFormat="1" ht="13.5" customHeight="1" x14ac:dyDescent="0.2">
      <c r="A32" s="226">
        <v>18</v>
      </c>
      <c r="B32" s="227">
        <v>19</v>
      </c>
      <c r="C32" s="233">
        <v>92</v>
      </c>
      <c r="D32" s="233"/>
      <c r="E32" s="233">
        <v>583</v>
      </c>
      <c r="F32" s="247"/>
      <c r="G32" s="233"/>
      <c r="H32" s="233"/>
      <c r="I32" s="233"/>
      <c r="J32" s="233">
        <v>80</v>
      </c>
      <c r="K32" s="233"/>
      <c r="L32" s="233"/>
      <c r="M32" s="233"/>
      <c r="N32" s="233"/>
      <c r="O32" s="233"/>
      <c r="P32" s="233">
        <v>85</v>
      </c>
      <c r="Q32" s="233"/>
      <c r="R32" s="233"/>
      <c r="S32" s="233"/>
      <c r="T32" s="233"/>
      <c r="U32" s="233"/>
      <c r="V32" s="233"/>
      <c r="W32" s="233"/>
      <c r="X32" s="233"/>
      <c r="Y32" s="235"/>
      <c r="Z32" s="235"/>
      <c r="AA32" s="235"/>
      <c r="AB32" s="233"/>
      <c r="AC32" s="233"/>
      <c r="AD32" s="233"/>
      <c r="AE32" s="246">
        <f>C32+D32+E32+F32+G32+H32+I32+J32+K32+L32+M32+N32+O32+P32+Q32+R32+S32+T32+U32+V32+W32+X32+Y32+Z32+AA32+AB32+AC32+AD32</f>
        <v>840</v>
      </c>
      <c r="AF32" s="235"/>
      <c r="AG32" s="236">
        <f>AE32+AF32</f>
        <v>840</v>
      </c>
      <c r="AH32" s="228"/>
    </row>
    <row r="33" spans="1:34" s="226" customFormat="1" ht="13.5" customHeight="1" x14ac:dyDescent="0.2">
      <c r="A33" s="226">
        <v>19</v>
      </c>
      <c r="B33" s="227">
        <v>20</v>
      </c>
      <c r="C33" s="233">
        <v>20</v>
      </c>
      <c r="D33" s="233"/>
      <c r="E33" s="233">
        <v>55</v>
      </c>
      <c r="F33" s="233"/>
      <c r="G33" s="233"/>
      <c r="H33" s="233"/>
      <c r="I33" s="233"/>
      <c r="J33" s="233">
        <v>18</v>
      </c>
      <c r="K33" s="233">
        <v>93</v>
      </c>
      <c r="L33" s="233"/>
      <c r="M33" s="233"/>
      <c r="N33" s="233"/>
      <c r="O33" s="233"/>
      <c r="P33" s="233">
        <v>5</v>
      </c>
      <c r="Q33" s="233"/>
      <c r="R33" s="233"/>
      <c r="S33" s="233"/>
      <c r="T33" s="233"/>
      <c r="U33" s="233"/>
      <c r="V33" s="233"/>
      <c r="W33" s="233"/>
      <c r="X33" s="233"/>
      <c r="Y33" s="235"/>
      <c r="Z33" s="235"/>
      <c r="AA33" s="235"/>
      <c r="AB33" s="233"/>
      <c r="AC33" s="233"/>
      <c r="AD33" s="233"/>
      <c r="AE33" s="246">
        <f>C33+D33+E33+F33+G33+H33+I33+J33+K33+L33+M33+N33+O33+P33+Q33+R33+S33+T33+U33+V33+W33+X33+Y33+Z33+AA33+AB33+AC33+AD33</f>
        <v>191</v>
      </c>
      <c r="AF33" s="235"/>
      <c r="AG33" s="236">
        <f>AE33+AF33</f>
        <v>191</v>
      </c>
      <c r="AH33" s="228"/>
    </row>
    <row r="34" spans="1:34" s="239" customFormat="1" ht="22.5" customHeight="1" x14ac:dyDescent="0.2">
      <c r="A34" s="239">
        <v>0</v>
      </c>
      <c r="B34" s="230" t="s">
        <v>627</v>
      </c>
      <c r="C34" s="231">
        <v>320</v>
      </c>
      <c r="D34" s="231">
        <v>0</v>
      </c>
      <c r="E34" s="231">
        <v>0</v>
      </c>
      <c r="F34" s="231">
        <v>0</v>
      </c>
      <c r="G34" s="231">
        <v>1871</v>
      </c>
      <c r="H34" s="231">
        <v>0</v>
      </c>
      <c r="I34" s="231">
        <v>0</v>
      </c>
      <c r="J34" s="231">
        <v>218</v>
      </c>
      <c r="K34" s="231">
        <v>0</v>
      </c>
      <c r="L34" s="231">
        <v>0</v>
      </c>
      <c r="M34" s="231">
        <v>0</v>
      </c>
      <c r="N34" s="231">
        <v>0</v>
      </c>
      <c r="O34" s="231">
        <v>0</v>
      </c>
      <c r="P34" s="231">
        <v>0</v>
      </c>
      <c r="Q34" s="231">
        <v>0</v>
      </c>
      <c r="R34" s="231">
        <v>0</v>
      </c>
      <c r="S34" s="231">
        <v>190</v>
      </c>
      <c r="T34" s="231">
        <v>0</v>
      </c>
      <c r="U34" s="231">
        <v>0</v>
      </c>
      <c r="V34" s="231">
        <v>0</v>
      </c>
      <c r="W34" s="231">
        <v>0</v>
      </c>
      <c r="X34" s="231">
        <v>0</v>
      </c>
      <c r="Y34" s="231">
        <v>0</v>
      </c>
      <c r="Z34" s="231">
        <v>0</v>
      </c>
      <c r="AA34" s="231">
        <v>0</v>
      </c>
      <c r="AB34" s="231">
        <v>0</v>
      </c>
      <c r="AC34" s="231">
        <v>0</v>
      </c>
      <c r="AD34" s="231">
        <v>0</v>
      </c>
      <c r="AE34" s="231">
        <f t="shared" ref="AE34:AG34" si="10">SUM(AE35:AE41)</f>
        <v>2599</v>
      </c>
      <c r="AF34" s="231">
        <f t="shared" si="10"/>
        <v>0</v>
      </c>
      <c r="AG34" s="231">
        <f t="shared" si="10"/>
        <v>2599</v>
      </c>
      <c r="AH34" s="241"/>
    </row>
    <row r="35" spans="1:34" s="226" customFormat="1" ht="13.5" customHeight="1" x14ac:dyDescent="0.2">
      <c r="A35" s="226">
        <v>20</v>
      </c>
      <c r="B35" s="227">
        <v>21</v>
      </c>
      <c r="C35" s="234">
        <v>120</v>
      </c>
      <c r="D35" s="234"/>
      <c r="E35" s="234"/>
      <c r="F35" s="234"/>
      <c r="G35" s="234">
        <v>1351</v>
      </c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>
        <v>190</v>
      </c>
      <c r="T35" s="234"/>
      <c r="U35" s="234"/>
      <c r="V35" s="234"/>
      <c r="W35" s="234"/>
      <c r="X35" s="234"/>
      <c r="Y35" s="235"/>
      <c r="Z35" s="235"/>
      <c r="AA35" s="235"/>
      <c r="AB35" s="234"/>
      <c r="AC35" s="234"/>
      <c r="AD35" s="233"/>
      <c r="AE35" s="246">
        <f t="shared" ref="AE35:AE41" si="11">C35+D35+E35+F35+G35+H35+I35+J35+K35+L35+M35+N35+O35+P35+Q35+R35+S35+T35+U35+V35+W35+X35+Y35+Z35+AA35+AB35+AC35+AD35</f>
        <v>1661</v>
      </c>
      <c r="AF35" s="235"/>
      <c r="AG35" s="236">
        <f t="shared" ref="AG35:AG41" si="12">AE35+AF35</f>
        <v>1661</v>
      </c>
      <c r="AH35" s="228"/>
    </row>
    <row r="36" spans="1:34" s="226" customFormat="1" ht="13.5" customHeight="1" x14ac:dyDescent="0.2">
      <c r="A36" s="226">
        <v>21</v>
      </c>
      <c r="B36" s="227">
        <v>22</v>
      </c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5"/>
      <c r="Z36" s="235"/>
      <c r="AA36" s="235"/>
      <c r="AB36" s="234"/>
      <c r="AC36" s="234"/>
      <c r="AD36" s="233"/>
      <c r="AE36" s="246">
        <f t="shared" si="11"/>
        <v>0</v>
      </c>
      <c r="AF36" s="235"/>
      <c r="AG36" s="236">
        <f t="shared" si="12"/>
        <v>0</v>
      </c>
      <c r="AH36" s="228"/>
    </row>
    <row r="37" spans="1:34" s="226" customFormat="1" ht="13.5" customHeight="1" x14ac:dyDescent="0.2">
      <c r="A37" s="226">
        <v>22</v>
      </c>
      <c r="B37" s="227">
        <v>23</v>
      </c>
      <c r="C37" s="234"/>
      <c r="D37" s="234"/>
      <c r="E37" s="234"/>
      <c r="F37" s="234"/>
      <c r="G37" s="234"/>
      <c r="H37" s="238"/>
      <c r="I37" s="234"/>
      <c r="J37" s="234">
        <v>218</v>
      </c>
      <c r="K37" s="234"/>
      <c r="L37" s="234"/>
      <c r="M37" s="234"/>
      <c r="N37" s="234"/>
      <c r="O37" s="238"/>
      <c r="P37" s="238"/>
      <c r="Q37" s="234"/>
      <c r="R37" s="234"/>
      <c r="S37" s="234"/>
      <c r="T37" s="234"/>
      <c r="U37" s="234"/>
      <c r="V37" s="234"/>
      <c r="W37" s="234"/>
      <c r="X37" s="234"/>
      <c r="Y37" s="235"/>
      <c r="Z37" s="235"/>
      <c r="AA37" s="235"/>
      <c r="AB37" s="234"/>
      <c r="AC37" s="234"/>
      <c r="AD37" s="233"/>
      <c r="AE37" s="246">
        <f t="shared" si="11"/>
        <v>218</v>
      </c>
      <c r="AF37" s="235"/>
      <c r="AG37" s="236">
        <f t="shared" si="12"/>
        <v>218</v>
      </c>
      <c r="AH37" s="228"/>
    </row>
    <row r="38" spans="1:34" s="226" customFormat="1" ht="13.5" customHeight="1" x14ac:dyDescent="0.2">
      <c r="A38" s="226">
        <v>23</v>
      </c>
      <c r="B38" s="227">
        <v>24</v>
      </c>
      <c r="C38" s="234">
        <v>200</v>
      </c>
      <c r="D38" s="234"/>
      <c r="E38" s="234"/>
      <c r="F38" s="234"/>
      <c r="G38" s="234">
        <v>250</v>
      </c>
      <c r="H38" s="238"/>
      <c r="I38" s="234"/>
      <c r="J38" s="234"/>
      <c r="K38" s="234"/>
      <c r="L38" s="234"/>
      <c r="M38" s="234"/>
      <c r="N38" s="234"/>
      <c r="O38" s="238"/>
      <c r="P38" s="238"/>
      <c r="Q38" s="234"/>
      <c r="R38" s="234"/>
      <c r="S38" s="234"/>
      <c r="T38" s="234"/>
      <c r="U38" s="234"/>
      <c r="V38" s="234"/>
      <c r="W38" s="234"/>
      <c r="X38" s="234"/>
      <c r="Y38" s="235"/>
      <c r="Z38" s="235"/>
      <c r="AA38" s="235"/>
      <c r="AB38" s="234"/>
      <c r="AC38" s="234"/>
      <c r="AD38" s="233"/>
      <c r="AE38" s="246">
        <f t="shared" si="11"/>
        <v>450</v>
      </c>
      <c r="AF38" s="235"/>
      <c r="AG38" s="236">
        <f t="shared" si="12"/>
        <v>450</v>
      </c>
      <c r="AH38" s="228"/>
    </row>
    <row r="39" spans="1:34" s="226" customFormat="1" ht="13.5" customHeight="1" x14ac:dyDescent="0.2">
      <c r="A39" s="226">
        <v>24</v>
      </c>
      <c r="B39" s="227">
        <v>25</v>
      </c>
      <c r="C39" s="234"/>
      <c r="D39" s="234"/>
      <c r="E39" s="234"/>
      <c r="F39" s="234"/>
      <c r="G39" s="234">
        <v>57</v>
      </c>
      <c r="H39" s="238"/>
      <c r="I39" s="234"/>
      <c r="J39" s="234"/>
      <c r="K39" s="234"/>
      <c r="L39" s="234"/>
      <c r="M39" s="234"/>
      <c r="N39" s="234"/>
      <c r="O39" s="238"/>
      <c r="P39" s="238"/>
      <c r="Q39" s="234"/>
      <c r="R39" s="234"/>
      <c r="S39" s="234"/>
      <c r="T39" s="234"/>
      <c r="U39" s="234"/>
      <c r="V39" s="234"/>
      <c r="W39" s="234"/>
      <c r="X39" s="234"/>
      <c r="Y39" s="235"/>
      <c r="Z39" s="235"/>
      <c r="AA39" s="235"/>
      <c r="AB39" s="234"/>
      <c r="AC39" s="234"/>
      <c r="AD39" s="233"/>
      <c r="AE39" s="246">
        <f t="shared" si="11"/>
        <v>57</v>
      </c>
      <c r="AF39" s="235"/>
      <c r="AG39" s="236">
        <f t="shared" si="12"/>
        <v>57</v>
      </c>
      <c r="AH39" s="228"/>
    </row>
    <row r="40" spans="1:34" s="226" customFormat="1" ht="13.5" customHeight="1" x14ac:dyDescent="0.2">
      <c r="A40" s="226">
        <v>25</v>
      </c>
      <c r="B40" s="227">
        <v>26</v>
      </c>
      <c r="C40" s="234"/>
      <c r="D40" s="234"/>
      <c r="E40" s="234"/>
      <c r="F40" s="234"/>
      <c r="G40" s="234">
        <v>213</v>
      </c>
      <c r="H40" s="238"/>
      <c r="I40" s="234"/>
      <c r="J40" s="234"/>
      <c r="K40" s="234"/>
      <c r="L40" s="234"/>
      <c r="M40" s="234"/>
      <c r="N40" s="234"/>
      <c r="O40" s="238"/>
      <c r="P40" s="238"/>
      <c r="Q40" s="234"/>
      <c r="R40" s="234"/>
      <c r="S40" s="234"/>
      <c r="T40" s="234"/>
      <c r="U40" s="234"/>
      <c r="V40" s="234"/>
      <c r="W40" s="234"/>
      <c r="X40" s="234"/>
      <c r="Y40" s="235"/>
      <c r="Z40" s="235"/>
      <c r="AA40" s="235"/>
      <c r="AB40" s="234"/>
      <c r="AC40" s="234"/>
      <c r="AD40" s="233"/>
      <c r="AE40" s="246">
        <f t="shared" si="11"/>
        <v>213</v>
      </c>
      <c r="AF40" s="235"/>
      <c r="AG40" s="236">
        <f t="shared" si="12"/>
        <v>213</v>
      </c>
      <c r="AH40" s="228"/>
    </row>
    <row r="41" spans="1:34" s="226" customFormat="1" ht="13.5" customHeight="1" x14ac:dyDescent="0.2">
      <c r="A41" s="226">
        <v>26</v>
      </c>
      <c r="B41" s="227">
        <v>27</v>
      </c>
      <c r="C41" s="234"/>
      <c r="D41" s="234"/>
      <c r="E41" s="234"/>
      <c r="F41" s="234"/>
      <c r="G41" s="234"/>
      <c r="H41" s="238"/>
      <c r="I41" s="234"/>
      <c r="J41" s="234"/>
      <c r="K41" s="234"/>
      <c r="L41" s="234"/>
      <c r="M41" s="234"/>
      <c r="N41" s="234"/>
      <c r="O41" s="238"/>
      <c r="P41" s="238"/>
      <c r="Q41" s="234"/>
      <c r="R41" s="234"/>
      <c r="S41" s="234"/>
      <c r="T41" s="234"/>
      <c r="U41" s="234"/>
      <c r="V41" s="234"/>
      <c r="W41" s="234"/>
      <c r="X41" s="234"/>
      <c r="Y41" s="235"/>
      <c r="Z41" s="235"/>
      <c r="AA41" s="235"/>
      <c r="AB41" s="234"/>
      <c r="AC41" s="234"/>
      <c r="AD41" s="233"/>
      <c r="AE41" s="246">
        <f t="shared" si="11"/>
        <v>0</v>
      </c>
      <c r="AF41" s="235"/>
      <c r="AG41" s="236">
        <f t="shared" si="12"/>
        <v>0</v>
      </c>
      <c r="AH41" s="228"/>
    </row>
    <row r="42" spans="1:34" s="226" customFormat="1" ht="13.5" customHeight="1" x14ac:dyDescent="0.2">
      <c r="B42" s="227">
        <v>28</v>
      </c>
      <c r="C42" s="234"/>
      <c r="D42" s="234"/>
      <c r="E42" s="234"/>
      <c r="F42" s="234"/>
      <c r="G42" s="234"/>
      <c r="H42" s="238"/>
      <c r="I42" s="234"/>
      <c r="J42" s="234"/>
      <c r="K42" s="234"/>
      <c r="L42" s="234"/>
      <c r="M42" s="234"/>
      <c r="N42" s="234"/>
      <c r="O42" s="238"/>
      <c r="P42" s="238"/>
      <c r="Q42" s="234"/>
      <c r="R42" s="234"/>
      <c r="S42" s="234"/>
      <c r="T42" s="234"/>
      <c r="U42" s="234"/>
      <c r="V42" s="234"/>
      <c r="W42" s="234"/>
      <c r="X42" s="234"/>
      <c r="Y42" s="235"/>
      <c r="Z42" s="235"/>
      <c r="AA42" s="235"/>
      <c r="AB42" s="234"/>
      <c r="AC42" s="234"/>
      <c r="AD42" s="233"/>
      <c r="AE42" s="246">
        <f t="shared" ref="AE42" si="13">C42+D42+E42+F42+G42+H42+I42+J42+K42+L42+M42+N42+O42+P42+Q42+R42+S42+T42+U42+V42+W42+X42+Y42+Z42+AA42+AB42+AC42+AD42</f>
        <v>0</v>
      </c>
      <c r="AF42" s="235"/>
      <c r="AG42" s="236">
        <f t="shared" ref="AG42" si="14">AE42+AF42</f>
        <v>0</v>
      </c>
      <c r="AH42" s="228"/>
    </row>
    <row r="43" spans="1:34" s="239" customFormat="1" ht="22.5" customHeight="1" x14ac:dyDescent="0.2">
      <c r="A43" s="239">
        <v>0</v>
      </c>
      <c r="B43" s="248" t="s">
        <v>628</v>
      </c>
      <c r="C43" s="231">
        <v>175</v>
      </c>
      <c r="D43" s="231">
        <v>9</v>
      </c>
      <c r="E43" s="231">
        <v>0</v>
      </c>
      <c r="F43" s="231">
        <v>0</v>
      </c>
      <c r="G43" s="231">
        <v>0</v>
      </c>
      <c r="H43" s="231">
        <v>0</v>
      </c>
      <c r="I43" s="231">
        <v>0</v>
      </c>
      <c r="J43" s="231">
        <v>82</v>
      </c>
      <c r="K43" s="231">
        <v>0</v>
      </c>
      <c r="L43" s="231">
        <v>0</v>
      </c>
      <c r="M43" s="231">
        <v>100</v>
      </c>
      <c r="N43" s="231">
        <v>0</v>
      </c>
      <c r="O43" s="231">
        <v>105</v>
      </c>
      <c r="P43" s="231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A43" s="231">
        <v>0</v>
      </c>
      <c r="AB43" s="231">
        <v>14</v>
      </c>
      <c r="AC43" s="231">
        <v>0</v>
      </c>
      <c r="AD43" s="231">
        <v>4</v>
      </c>
      <c r="AE43" s="231">
        <f t="shared" ref="AE43:AG43" si="15">AE44+AE45+AE46</f>
        <v>489</v>
      </c>
      <c r="AF43" s="231">
        <f t="shared" si="15"/>
        <v>0</v>
      </c>
      <c r="AG43" s="231">
        <f t="shared" si="15"/>
        <v>489</v>
      </c>
      <c r="AH43" s="241"/>
    </row>
    <row r="44" spans="1:34" s="226" customFormat="1" ht="13.5" customHeight="1" x14ac:dyDescent="0.2">
      <c r="A44" s="226">
        <v>27</v>
      </c>
      <c r="B44" s="227">
        <v>29</v>
      </c>
      <c r="C44" s="234">
        <v>145</v>
      </c>
      <c r="D44" s="234"/>
      <c r="E44" s="234"/>
      <c r="F44" s="234"/>
      <c r="G44" s="234"/>
      <c r="H44" s="234"/>
      <c r="I44" s="234"/>
      <c r="J44" s="234">
        <v>46</v>
      </c>
      <c r="K44" s="234"/>
      <c r="L44" s="234"/>
      <c r="M44" s="234">
        <v>60</v>
      </c>
      <c r="N44" s="234"/>
      <c r="O44" s="234">
        <v>55</v>
      </c>
      <c r="P44" s="234"/>
      <c r="Q44" s="234"/>
      <c r="R44" s="234"/>
      <c r="S44" s="234"/>
      <c r="T44" s="234"/>
      <c r="U44" s="234"/>
      <c r="V44" s="234"/>
      <c r="W44" s="234"/>
      <c r="X44" s="234"/>
      <c r="Y44" s="235"/>
      <c r="Z44" s="235"/>
      <c r="AA44" s="235"/>
      <c r="AB44" s="234">
        <v>10</v>
      </c>
      <c r="AC44" s="234"/>
      <c r="AD44" s="233"/>
      <c r="AE44" s="246">
        <f>C44+D44+E44+F44+G44+H44+I44+J44+K44+L44+M44+N44+O44+P44+Q44+R44+S44+T44+U44+V44+W44+X44+Y44+Z44+AA44+AB44+AC44+AD44</f>
        <v>316</v>
      </c>
      <c r="AF44" s="235"/>
      <c r="AG44" s="236">
        <f>AE44+AF44</f>
        <v>316</v>
      </c>
      <c r="AH44" s="228"/>
    </row>
    <row r="45" spans="1:34" s="226" customFormat="1" ht="13.5" customHeight="1" x14ac:dyDescent="0.2">
      <c r="A45" s="226">
        <v>28</v>
      </c>
      <c r="B45" s="227">
        <v>30</v>
      </c>
      <c r="C45" s="234">
        <v>15</v>
      </c>
      <c r="D45" s="234">
        <v>9</v>
      </c>
      <c r="E45" s="234"/>
      <c r="F45" s="234"/>
      <c r="G45" s="234"/>
      <c r="H45" s="234"/>
      <c r="I45" s="234"/>
      <c r="J45" s="234">
        <v>22</v>
      </c>
      <c r="K45" s="244"/>
      <c r="L45" s="234"/>
      <c r="M45" s="234">
        <v>40</v>
      </c>
      <c r="N45" s="234"/>
      <c r="O45" s="234">
        <v>50</v>
      </c>
      <c r="P45" s="234"/>
      <c r="Q45" s="234"/>
      <c r="R45" s="234"/>
      <c r="S45" s="234"/>
      <c r="T45" s="234"/>
      <c r="U45" s="234"/>
      <c r="V45" s="234"/>
      <c r="W45" s="234"/>
      <c r="X45" s="234"/>
      <c r="Y45" s="235"/>
      <c r="Z45" s="235"/>
      <c r="AA45" s="235"/>
      <c r="AB45" s="234">
        <v>2</v>
      </c>
      <c r="AC45" s="234"/>
      <c r="AD45" s="233">
        <v>4</v>
      </c>
      <c r="AE45" s="246">
        <f>C45+D45+E45+F45+G45+H45+I45+J45+K45+L45+M45+N45+O45+P45+Q45+R45+S45+T45+U45+V45+W45+X45+Y45+Z45+AA45+AB45+AC45+AD45</f>
        <v>142</v>
      </c>
      <c r="AF45" s="235"/>
      <c r="AG45" s="236">
        <f>AE45+AF45</f>
        <v>142</v>
      </c>
      <c r="AH45" s="228"/>
    </row>
    <row r="46" spans="1:34" s="226" customFormat="1" ht="13.5" customHeight="1" x14ac:dyDescent="0.2">
      <c r="A46" s="226">
        <v>29</v>
      </c>
      <c r="B46" s="227">
        <v>31</v>
      </c>
      <c r="C46" s="234">
        <v>15</v>
      </c>
      <c r="D46" s="234"/>
      <c r="E46" s="234"/>
      <c r="F46" s="234"/>
      <c r="G46" s="234"/>
      <c r="H46" s="234"/>
      <c r="I46" s="234"/>
      <c r="J46" s="234">
        <v>14</v>
      </c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5"/>
      <c r="Z46" s="235"/>
      <c r="AA46" s="235"/>
      <c r="AB46" s="234">
        <v>2</v>
      </c>
      <c r="AC46" s="234"/>
      <c r="AD46" s="233"/>
      <c r="AE46" s="246">
        <f>C46+D46+E46+F46+G46+H46+I46+J46+K46+L46+M46+N46+O46+P46+Q46+R46+S46+T46+U46+V46+W46+X46+Y46+Z46+AA46+AB46+AC46+AD46</f>
        <v>31</v>
      </c>
      <c r="AF46" s="235"/>
      <c r="AG46" s="236">
        <f>AE46+AF46</f>
        <v>31</v>
      </c>
      <c r="AH46" s="228"/>
    </row>
    <row r="47" spans="1:34" s="239" customFormat="1" ht="22.5" customHeight="1" x14ac:dyDescent="0.2">
      <c r="A47" s="239">
        <v>0</v>
      </c>
      <c r="B47" s="248" t="s">
        <v>629</v>
      </c>
      <c r="C47" s="231">
        <v>0</v>
      </c>
      <c r="D47" s="231">
        <v>0</v>
      </c>
      <c r="E47" s="231">
        <v>0</v>
      </c>
      <c r="F47" s="231">
        <v>0</v>
      </c>
      <c r="G47" s="231">
        <v>0</v>
      </c>
      <c r="H47" s="231">
        <v>0</v>
      </c>
      <c r="I47" s="231">
        <v>0</v>
      </c>
      <c r="J47" s="231">
        <v>85</v>
      </c>
      <c r="K47" s="231">
        <v>0</v>
      </c>
      <c r="L47" s="231">
        <v>1306</v>
      </c>
      <c r="M47" s="231">
        <v>0</v>
      </c>
      <c r="N47" s="231">
        <v>0</v>
      </c>
      <c r="O47" s="231">
        <v>0</v>
      </c>
      <c r="P47" s="231">
        <v>0</v>
      </c>
      <c r="Q47" s="231">
        <v>0</v>
      </c>
      <c r="R47" s="231">
        <v>100</v>
      </c>
      <c r="S47" s="231">
        <v>220</v>
      </c>
      <c r="T47" s="231">
        <v>50</v>
      </c>
      <c r="U47" s="231">
        <v>0</v>
      </c>
      <c r="V47" s="231">
        <v>0</v>
      </c>
      <c r="W47" s="231">
        <v>0</v>
      </c>
      <c r="X47" s="231">
        <v>95</v>
      </c>
      <c r="Y47" s="231">
        <v>130</v>
      </c>
      <c r="Z47" s="231">
        <v>100</v>
      </c>
      <c r="AA47" s="231">
        <v>0</v>
      </c>
      <c r="AB47" s="231">
        <v>0</v>
      </c>
      <c r="AC47" s="231">
        <v>3</v>
      </c>
      <c r="AD47" s="231">
        <v>0</v>
      </c>
      <c r="AE47" s="231">
        <f>SUM(AE48:AE54)</f>
        <v>2089</v>
      </c>
      <c r="AF47" s="231">
        <f t="shared" ref="AF47:AG47" si="16">SUM(AF48:AF54)</f>
        <v>0</v>
      </c>
      <c r="AG47" s="231">
        <f t="shared" si="16"/>
        <v>2089</v>
      </c>
      <c r="AH47" s="241"/>
    </row>
    <row r="48" spans="1:34" s="226" customFormat="1" ht="13.5" customHeight="1" x14ac:dyDescent="0.2">
      <c r="A48" s="226">
        <v>30</v>
      </c>
      <c r="B48" s="227">
        <v>32</v>
      </c>
      <c r="C48" s="234"/>
      <c r="D48" s="234"/>
      <c r="E48" s="234"/>
      <c r="F48" s="234"/>
      <c r="G48" s="234"/>
      <c r="H48" s="234"/>
      <c r="I48" s="234"/>
      <c r="J48" s="234">
        <v>85</v>
      </c>
      <c r="K48" s="234"/>
      <c r="L48" s="234">
        <v>1035</v>
      </c>
      <c r="M48" s="234"/>
      <c r="N48" s="233"/>
      <c r="O48" s="234"/>
      <c r="P48" s="234"/>
      <c r="Q48" s="234"/>
      <c r="R48" s="234">
        <v>95</v>
      </c>
      <c r="S48" s="234">
        <v>205</v>
      </c>
      <c r="T48" s="234">
        <v>50</v>
      </c>
      <c r="U48" s="233"/>
      <c r="V48" s="233"/>
      <c r="W48" s="233"/>
      <c r="X48" s="233">
        <v>89</v>
      </c>
      <c r="Y48" s="235">
        <v>130</v>
      </c>
      <c r="Z48" s="235">
        <v>100</v>
      </c>
      <c r="AA48" s="235"/>
      <c r="AB48" s="234"/>
      <c r="AC48" s="234">
        <v>3</v>
      </c>
      <c r="AD48" s="233"/>
      <c r="AE48" s="246">
        <f>C48+D48+E48+F48+G48+H48+I48+J48+K48+L48+M48+N48+O48+P48+Q48+R48+S48+T48+U48+V48+W48+X48+Y48+Z48+AA48+AB48+AC48+AD48</f>
        <v>1792</v>
      </c>
      <c r="AF48" s="235"/>
      <c r="AG48" s="236">
        <f>AE48+AF48</f>
        <v>1792</v>
      </c>
      <c r="AH48" s="228"/>
    </row>
    <row r="49" spans="1:34" s="226" customFormat="1" ht="13.5" customHeight="1" x14ac:dyDescent="0.2">
      <c r="A49" s="226">
        <v>31</v>
      </c>
      <c r="B49" s="227">
        <v>33</v>
      </c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3"/>
      <c r="O49" s="234"/>
      <c r="P49" s="234"/>
      <c r="Q49" s="234"/>
      <c r="R49" s="234"/>
      <c r="S49" s="234"/>
      <c r="T49" s="234"/>
      <c r="U49" s="233"/>
      <c r="V49" s="233"/>
      <c r="W49" s="233"/>
      <c r="X49" s="233"/>
      <c r="Y49" s="235"/>
      <c r="Z49" s="235"/>
      <c r="AA49" s="235"/>
      <c r="AB49" s="234"/>
      <c r="AC49" s="234"/>
      <c r="AD49" s="233"/>
      <c r="AE49" s="246">
        <f t="shared" ref="AE49:AE54" si="17">C49+D49+E49+F49+G49+H49+I49+J49+K49+L49+M49+N49+O49+P49+Q49+R49+S49+T49+U49+V49+W49+X49+Y49+Z49+AA49+AB49+AC49+AD49</f>
        <v>0</v>
      </c>
      <c r="AF49" s="235"/>
      <c r="AG49" s="236">
        <f t="shared" ref="AG49:AG54" si="18">AE49+AF49</f>
        <v>0</v>
      </c>
      <c r="AH49" s="228"/>
    </row>
    <row r="50" spans="1:34" s="226" customFormat="1" ht="13.5" customHeight="1" x14ac:dyDescent="0.2">
      <c r="A50" s="226">
        <v>32</v>
      </c>
      <c r="B50" s="227">
        <v>34</v>
      </c>
      <c r="C50" s="234"/>
      <c r="D50" s="234"/>
      <c r="E50" s="234"/>
      <c r="F50" s="234"/>
      <c r="G50" s="234"/>
      <c r="H50" s="234"/>
      <c r="I50" s="234"/>
      <c r="J50" s="234"/>
      <c r="K50" s="234"/>
      <c r="L50" s="234">
        <v>20</v>
      </c>
      <c r="M50" s="234"/>
      <c r="N50" s="233"/>
      <c r="O50" s="234"/>
      <c r="P50" s="234"/>
      <c r="Q50" s="234"/>
      <c r="R50" s="234">
        <v>5</v>
      </c>
      <c r="S50" s="234">
        <v>15</v>
      </c>
      <c r="T50" s="234"/>
      <c r="U50" s="233"/>
      <c r="V50" s="233"/>
      <c r="W50" s="233"/>
      <c r="X50" s="233">
        <v>6</v>
      </c>
      <c r="Y50" s="235"/>
      <c r="Z50" s="235"/>
      <c r="AA50" s="235"/>
      <c r="AB50" s="234"/>
      <c r="AC50" s="234"/>
      <c r="AD50" s="233"/>
      <c r="AE50" s="246">
        <f t="shared" si="17"/>
        <v>46</v>
      </c>
      <c r="AF50" s="235"/>
      <c r="AG50" s="236">
        <f t="shared" si="18"/>
        <v>46</v>
      </c>
      <c r="AH50" s="228"/>
    </row>
    <row r="51" spans="1:34" s="226" customFormat="1" ht="13.5" customHeight="1" x14ac:dyDescent="0.2">
      <c r="B51" s="227">
        <v>35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>
        <v>250</v>
      </c>
      <c r="M51" s="234"/>
      <c r="N51" s="233"/>
      <c r="O51" s="234"/>
      <c r="P51" s="234"/>
      <c r="Q51" s="234"/>
      <c r="R51" s="234"/>
      <c r="S51" s="234"/>
      <c r="T51" s="234"/>
      <c r="U51" s="233"/>
      <c r="V51" s="233"/>
      <c r="W51" s="233"/>
      <c r="X51" s="233"/>
      <c r="Y51" s="235"/>
      <c r="Z51" s="235"/>
      <c r="AA51" s="235"/>
      <c r="AB51" s="234"/>
      <c r="AC51" s="234"/>
      <c r="AD51" s="233"/>
      <c r="AE51" s="246">
        <f t="shared" si="17"/>
        <v>250</v>
      </c>
      <c r="AF51" s="235"/>
      <c r="AG51" s="236">
        <f t="shared" si="18"/>
        <v>250</v>
      </c>
      <c r="AH51" s="228"/>
    </row>
    <row r="52" spans="1:34" s="226" customFormat="1" ht="13.5" customHeight="1" x14ac:dyDescent="0.2">
      <c r="B52" s="227">
        <v>36</v>
      </c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3"/>
      <c r="O52" s="234"/>
      <c r="P52" s="234"/>
      <c r="Q52" s="234"/>
      <c r="R52" s="234"/>
      <c r="S52" s="234"/>
      <c r="T52" s="234"/>
      <c r="U52" s="233"/>
      <c r="V52" s="233"/>
      <c r="W52" s="233"/>
      <c r="X52" s="233"/>
      <c r="Y52" s="235"/>
      <c r="Z52" s="235"/>
      <c r="AA52" s="235"/>
      <c r="AB52" s="234"/>
      <c r="AC52" s="234"/>
      <c r="AD52" s="233"/>
      <c r="AE52" s="246">
        <f t="shared" si="17"/>
        <v>0</v>
      </c>
      <c r="AF52" s="235"/>
      <c r="AG52" s="236">
        <f t="shared" si="18"/>
        <v>0</v>
      </c>
      <c r="AH52" s="228"/>
    </row>
    <row r="53" spans="1:34" s="226" customFormat="1" ht="13.5" customHeight="1" x14ac:dyDescent="0.2">
      <c r="B53" s="227">
        <v>37</v>
      </c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3"/>
      <c r="O53" s="234"/>
      <c r="P53" s="234"/>
      <c r="Q53" s="234"/>
      <c r="R53" s="234"/>
      <c r="S53" s="234"/>
      <c r="T53" s="234"/>
      <c r="U53" s="233"/>
      <c r="V53" s="233"/>
      <c r="W53" s="233"/>
      <c r="X53" s="233"/>
      <c r="Y53" s="235"/>
      <c r="Z53" s="235"/>
      <c r="AA53" s="235"/>
      <c r="AB53" s="234"/>
      <c r="AC53" s="234"/>
      <c r="AD53" s="233"/>
      <c r="AE53" s="246">
        <f t="shared" si="17"/>
        <v>0</v>
      </c>
      <c r="AF53" s="235"/>
      <c r="AG53" s="236">
        <f t="shared" si="18"/>
        <v>0</v>
      </c>
      <c r="AH53" s="228"/>
    </row>
    <row r="54" spans="1:34" s="226" customFormat="1" ht="13.5" customHeight="1" x14ac:dyDescent="0.2">
      <c r="A54" s="226">
        <v>33</v>
      </c>
      <c r="B54" s="227">
        <v>38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>
        <v>1</v>
      </c>
      <c r="M54" s="234"/>
      <c r="N54" s="233"/>
      <c r="O54" s="234"/>
      <c r="P54" s="234"/>
      <c r="Q54" s="234"/>
      <c r="R54" s="234"/>
      <c r="S54" s="234"/>
      <c r="T54" s="234"/>
      <c r="U54" s="233"/>
      <c r="V54" s="233"/>
      <c r="W54" s="233"/>
      <c r="X54" s="233"/>
      <c r="Y54" s="235"/>
      <c r="Z54" s="235"/>
      <c r="AA54" s="235"/>
      <c r="AB54" s="234"/>
      <c r="AC54" s="234"/>
      <c r="AD54" s="233"/>
      <c r="AE54" s="246">
        <f t="shared" si="17"/>
        <v>1</v>
      </c>
      <c r="AF54" s="235"/>
      <c r="AG54" s="236">
        <f t="shared" si="18"/>
        <v>1</v>
      </c>
      <c r="AH54" s="228"/>
    </row>
    <row r="55" spans="1:34" s="239" customFormat="1" ht="22.5" customHeight="1" x14ac:dyDescent="0.2">
      <c r="A55" s="239">
        <v>0</v>
      </c>
      <c r="B55" s="248" t="s">
        <v>630</v>
      </c>
      <c r="C55" s="231">
        <v>0</v>
      </c>
      <c r="D55" s="231">
        <v>0</v>
      </c>
      <c r="E55" s="231">
        <v>0</v>
      </c>
      <c r="F55" s="231">
        <v>60</v>
      </c>
      <c r="G55" s="231">
        <v>0</v>
      </c>
      <c r="H55" s="231">
        <v>0</v>
      </c>
      <c r="I55" s="231">
        <v>0</v>
      </c>
      <c r="J55" s="231">
        <v>88</v>
      </c>
      <c r="K55" s="231">
        <v>20</v>
      </c>
      <c r="L55" s="231">
        <v>0</v>
      </c>
      <c r="M55" s="231">
        <v>0</v>
      </c>
      <c r="N55" s="231">
        <v>0</v>
      </c>
      <c r="O55" s="231">
        <v>0</v>
      </c>
      <c r="P55" s="231">
        <v>0</v>
      </c>
      <c r="Q55" s="231">
        <v>0</v>
      </c>
      <c r="R55" s="231">
        <v>0</v>
      </c>
      <c r="S55" s="231">
        <v>0</v>
      </c>
      <c r="T55" s="231">
        <v>0</v>
      </c>
      <c r="U55" s="231">
        <v>0</v>
      </c>
      <c r="V55" s="231">
        <v>0</v>
      </c>
      <c r="W55" s="231">
        <v>0</v>
      </c>
      <c r="X55" s="231">
        <v>0</v>
      </c>
      <c r="Y55" s="231">
        <v>0</v>
      </c>
      <c r="Z55" s="231">
        <v>0</v>
      </c>
      <c r="AA55" s="231">
        <v>0</v>
      </c>
      <c r="AB55" s="231">
        <v>0</v>
      </c>
      <c r="AC55" s="231">
        <v>0</v>
      </c>
      <c r="AD55" s="231">
        <v>0</v>
      </c>
      <c r="AE55" s="231">
        <f t="shared" ref="AE55:AG55" si="19">SUM(AE56:AE63)</f>
        <v>168</v>
      </c>
      <c r="AF55" s="231">
        <f t="shared" si="19"/>
        <v>0</v>
      </c>
      <c r="AG55" s="231">
        <f t="shared" si="19"/>
        <v>168</v>
      </c>
      <c r="AH55" s="241"/>
    </row>
    <row r="56" spans="1:34" s="226" customFormat="1" ht="13.5" customHeight="1" x14ac:dyDescent="0.2">
      <c r="A56" s="226">
        <v>34</v>
      </c>
      <c r="B56" s="227">
        <v>39</v>
      </c>
      <c r="C56" s="234"/>
      <c r="D56" s="234"/>
      <c r="E56" s="234"/>
      <c r="F56" s="234"/>
      <c r="G56" s="234"/>
      <c r="H56" s="234"/>
      <c r="I56" s="234"/>
      <c r="J56" s="234">
        <v>4</v>
      </c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5"/>
      <c r="Z56" s="235"/>
      <c r="AA56" s="235"/>
      <c r="AB56" s="234"/>
      <c r="AC56" s="234"/>
      <c r="AD56" s="233"/>
      <c r="AE56" s="246">
        <f t="shared" ref="AE56:AE63" si="20">C56+D56+E56+F56+G56+H56+I56+J56+K56+L56+M56+N56+O56+P56+Q56+R56+S56+T56+U56+V56+W56+X56+Y56+Z56+AA56+AB56+AC56+AD56</f>
        <v>4</v>
      </c>
      <c r="AF56" s="235"/>
      <c r="AG56" s="246">
        <f t="shared" ref="AG56:AG63" si="21">AE56+AF56</f>
        <v>4</v>
      </c>
      <c r="AH56" s="228"/>
    </row>
    <row r="57" spans="1:34" s="226" customFormat="1" ht="13.5" customHeight="1" x14ac:dyDescent="0.2">
      <c r="A57" s="226">
        <v>35</v>
      </c>
      <c r="B57" s="227">
        <v>40</v>
      </c>
      <c r="C57" s="234"/>
      <c r="D57" s="234"/>
      <c r="E57" s="234"/>
      <c r="F57" s="234"/>
      <c r="G57" s="234"/>
      <c r="H57" s="234"/>
      <c r="I57" s="234"/>
      <c r="J57" s="234">
        <v>56</v>
      </c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5"/>
      <c r="Z57" s="235"/>
      <c r="AA57" s="235"/>
      <c r="AB57" s="234"/>
      <c r="AC57" s="234"/>
      <c r="AD57" s="233"/>
      <c r="AE57" s="246">
        <f t="shared" si="20"/>
        <v>56</v>
      </c>
      <c r="AF57" s="235"/>
      <c r="AG57" s="246">
        <f t="shared" si="21"/>
        <v>56</v>
      </c>
      <c r="AH57" s="228"/>
    </row>
    <row r="58" spans="1:34" s="226" customFormat="1" ht="13.5" customHeight="1" x14ac:dyDescent="0.2">
      <c r="A58" s="226">
        <v>36</v>
      </c>
      <c r="B58" s="227">
        <v>41</v>
      </c>
      <c r="C58" s="234"/>
      <c r="D58" s="234"/>
      <c r="E58" s="234"/>
      <c r="F58" s="234">
        <v>60</v>
      </c>
      <c r="G58" s="234"/>
      <c r="H58" s="238"/>
      <c r="I58" s="234"/>
      <c r="J58" s="234"/>
      <c r="K58" s="234"/>
      <c r="L58" s="238"/>
      <c r="M58" s="234"/>
      <c r="N58" s="234"/>
      <c r="O58" s="238"/>
      <c r="P58" s="238"/>
      <c r="Q58" s="234"/>
      <c r="R58" s="234"/>
      <c r="S58" s="234"/>
      <c r="T58" s="234"/>
      <c r="U58" s="234"/>
      <c r="V58" s="234"/>
      <c r="W58" s="234"/>
      <c r="X58" s="234"/>
      <c r="Y58" s="235"/>
      <c r="Z58" s="235"/>
      <c r="AA58" s="235"/>
      <c r="AB58" s="234"/>
      <c r="AC58" s="234"/>
      <c r="AD58" s="233"/>
      <c r="AE58" s="246">
        <f t="shared" si="20"/>
        <v>60</v>
      </c>
      <c r="AF58" s="235"/>
      <c r="AG58" s="246">
        <f t="shared" si="21"/>
        <v>60</v>
      </c>
      <c r="AH58" s="228"/>
    </row>
    <row r="59" spans="1:34" s="226" customFormat="1" ht="13.5" customHeight="1" x14ac:dyDescent="0.2">
      <c r="A59" s="226">
        <v>37</v>
      </c>
      <c r="B59" s="227">
        <v>42</v>
      </c>
      <c r="C59" s="234"/>
      <c r="D59" s="234"/>
      <c r="E59" s="234"/>
      <c r="F59" s="234"/>
      <c r="G59" s="234"/>
      <c r="H59" s="238"/>
      <c r="I59" s="234"/>
      <c r="J59" s="234"/>
      <c r="K59" s="234"/>
      <c r="L59" s="238"/>
      <c r="M59" s="234"/>
      <c r="N59" s="234"/>
      <c r="O59" s="238"/>
      <c r="P59" s="238"/>
      <c r="Q59" s="234"/>
      <c r="R59" s="234"/>
      <c r="S59" s="234"/>
      <c r="T59" s="234"/>
      <c r="U59" s="234"/>
      <c r="V59" s="234"/>
      <c r="W59" s="234"/>
      <c r="X59" s="234"/>
      <c r="Y59" s="235"/>
      <c r="Z59" s="235"/>
      <c r="AA59" s="235"/>
      <c r="AB59" s="234"/>
      <c r="AC59" s="234"/>
      <c r="AD59" s="233"/>
      <c r="AE59" s="246">
        <f t="shared" si="20"/>
        <v>0</v>
      </c>
      <c r="AF59" s="235"/>
      <c r="AG59" s="246">
        <f t="shared" si="21"/>
        <v>0</v>
      </c>
      <c r="AH59" s="228"/>
    </row>
    <row r="60" spans="1:34" s="226" customFormat="1" ht="13.5" customHeight="1" x14ac:dyDescent="0.2">
      <c r="A60" s="226">
        <v>38</v>
      </c>
      <c r="B60" s="227">
        <v>43</v>
      </c>
      <c r="C60" s="234"/>
      <c r="D60" s="234"/>
      <c r="E60" s="234"/>
      <c r="F60" s="234"/>
      <c r="G60" s="234"/>
      <c r="H60" s="238"/>
      <c r="I60" s="234"/>
      <c r="J60" s="234"/>
      <c r="K60" s="234"/>
      <c r="L60" s="238"/>
      <c r="M60" s="234"/>
      <c r="N60" s="234"/>
      <c r="O60" s="238"/>
      <c r="P60" s="238"/>
      <c r="Q60" s="234"/>
      <c r="R60" s="234"/>
      <c r="S60" s="234"/>
      <c r="T60" s="234"/>
      <c r="U60" s="234"/>
      <c r="V60" s="234"/>
      <c r="W60" s="234"/>
      <c r="X60" s="234"/>
      <c r="Y60" s="235"/>
      <c r="Z60" s="235"/>
      <c r="AA60" s="235"/>
      <c r="AB60" s="234"/>
      <c r="AC60" s="234"/>
      <c r="AD60" s="233"/>
      <c r="AE60" s="246">
        <f t="shared" si="20"/>
        <v>0</v>
      </c>
      <c r="AF60" s="235"/>
      <c r="AG60" s="246">
        <f t="shared" si="21"/>
        <v>0</v>
      </c>
      <c r="AH60" s="228"/>
    </row>
    <row r="61" spans="1:34" s="226" customFormat="1" ht="13.5" customHeight="1" x14ac:dyDescent="0.2">
      <c r="A61" s="226">
        <v>39</v>
      </c>
      <c r="B61" s="227">
        <v>44</v>
      </c>
      <c r="C61" s="234"/>
      <c r="D61" s="234"/>
      <c r="E61" s="234"/>
      <c r="F61" s="234"/>
      <c r="G61" s="234"/>
      <c r="H61" s="238"/>
      <c r="I61" s="234"/>
      <c r="J61" s="234"/>
      <c r="K61" s="234"/>
      <c r="L61" s="238"/>
      <c r="M61" s="234"/>
      <c r="N61" s="234"/>
      <c r="O61" s="238"/>
      <c r="P61" s="238"/>
      <c r="Q61" s="234"/>
      <c r="R61" s="234"/>
      <c r="S61" s="234"/>
      <c r="T61" s="234"/>
      <c r="U61" s="234"/>
      <c r="V61" s="234"/>
      <c r="W61" s="234"/>
      <c r="X61" s="234"/>
      <c r="Y61" s="235"/>
      <c r="Z61" s="235"/>
      <c r="AA61" s="235"/>
      <c r="AB61" s="234"/>
      <c r="AC61" s="234"/>
      <c r="AD61" s="233"/>
      <c r="AE61" s="246">
        <f t="shared" si="20"/>
        <v>0</v>
      </c>
      <c r="AF61" s="235"/>
      <c r="AG61" s="246">
        <f t="shared" si="21"/>
        <v>0</v>
      </c>
      <c r="AH61" s="228"/>
    </row>
    <row r="62" spans="1:34" s="226" customFormat="1" ht="13.5" customHeight="1" x14ac:dyDescent="0.2">
      <c r="A62" s="226">
        <v>40</v>
      </c>
      <c r="B62" s="227">
        <v>45</v>
      </c>
      <c r="C62" s="234"/>
      <c r="D62" s="234"/>
      <c r="E62" s="234"/>
      <c r="F62" s="234"/>
      <c r="G62" s="234"/>
      <c r="H62" s="238"/>
      <c r="I62" s="234"/>
      <c r="J62" s="234"/>
      <c r="K62" s="234"/>
      <c r="L62" s="238"/>
      <c r="M62" s="234"/>
      <c r="N62" s="234"/>
      <c r="O62" s="238"/>
      <c r="P62" s="238"/>
      <c r="Q62" s="234"/>
      <c r="R62" s="234"/>
      <c r="S62" s="234"/>
      <c r="T62" s="234"/>
      <c r="U62" s="234"/>
      <c r="V62" s="234"/>
      <c r="W62" s="234"/>
      <c r="X62" s="234"/>
      <c r="Y62" s="235"/>
      <c r="Z62" s="235"/>
      <c r="AA62" s="235"/>
      <c r="AB62" s="234"/>
      <c r="AC62" s="234"/>
      <c r="AD62" s="233"/>
      <c r="AE62" s="246">
        <f t="shared" si="20"/>
        <v>0</v>
      </c>
      <c r="AF62" s="235"/>
      <c r="AG62" s="246">
        <f t="shared" si="21"/>
        <v>0</v>
      </c>
      <c r="AH62" s="228"/>
    </row>
    <row r="63" spans="1:34" s="226" customFormat="1" ht="13.5" customHeight="1" x14ac:dyDescent="0.2">
      <c r="A63" s="226">
        <v>41</v>
      </c>
      <c r="B63" s="227">
        <v>46</v>
      </c>
      <c r="C63" s="234"/>
      <c r="D63" s="234"/>
      <c r="E63" s="234"/>
      <c r="F63" s="234"/>
      <c r="G63" s="234"/>
      <c r="H63" s="238"/>
      <c r="I63" s="234"/>
      <c r="J63" s="234">
        <v>28</v>
      </c>
      <c r="K63" s="234">
        <v>20</v>
      </c>
      <c r="L63" s="238"/>
      <c r="M63" s="234"/>
      <c r="N63" s="234"/>
      <c r="O63" s="238"/>
      <c r="P63" s="238"/>
      <c r="Q63" s="234"/>
      <c r="R63" s="234"/>
      <c r="S63" s="234"/>
      <c r="T63" s="234"/>
      <c r="U63" s="234"/>
      <c r="V63" s="234"/>
      <c r="W63" s="234"/>
      <c r="X63" s="234"/>
      <c r="Y63" s="235"/>
      <c r="Z63" s="235"/>
      <c r="AA63" s="235"/>
      <c r="AB63" s="234"/>
      <c r="AC63" s="234"/>
      <c r="AD63" s="233"/>
      <c r="AE63" s="246">
        <f t="shared" si="20"/>
        <v>48</v>
      </c>
      <c r="AF63" s="235"/>
      <c r="AG63" s="246">
        <f t="shared" si="21"/>
        <v>48</v>
      </c>
      <c r="AH63" s="228"/>
    </row>
    <row r="64" spans="1:34" s="239" customFormat="1" ht="22.5" customHeight="1" x14ac:dyDescent="0.2">
      <c r="A64" s="239">
        <v>0</v>
      </c>
      <c r="B64" s="249" t="s">
        <v>631</v>
      </c>
      <c r="C64" s="231">
        <v>250</v>
      </c>
      <c r="D64" s="231">
        <v>0</v>
      </c>
      <c r="E64" s="231">
        <v>0</v>
      </c>
      <c r="F64" s="231">
        <v>0</v>
      </c>
      <c r="G64" s="231">
        <v>0</v>
      </c>
      <c r="H64" s="231">
        <v>0</v>
      </c>
      <c r="I64" s="231">
        <v>0</v>
      </c>
      <c r="J64" s="231">
        <v>0</v>
      </c>
      <c r="K64" s="231">
        <v>0</v>
      </c>
      <c r="L64" s="231">
        <v>0</v>
      </c>
      <c r="M64" s="231">
        <v>150</v>
      </c>
      <c r="N64" s="231">
        <v>0</v>
      </c>
      <c r="O64" s="231">
        <v>0</v>
      </c>
      <c r="P64" s="231">
        <v>0</v>
      </c>
      <c r="Q64" s="231">
        <v>0</v>
      </c>
      <c r="R64" s="231">
        <v>0</v>
      </c>
      <c r="S64" s="231">
        <v>45</v>
      </c>
      <c r="T64" s="231">
        <v>0</v>
      </c>
      <c r="U64" s="231">
        <v>0</v>
      </c>
      <c r="V64" s="231">
        <v>0</v>
      </c>
      <c r="W64" s="231">
        <v>0</v>
      </c>
      <c r="X64" s="231">
        <v>0</v>
      </c>
      <c r="Y64" s="231">
        <v>0</v>
      </c>
      <c r="Z64" s="231">
        <v>0</v>
      </c>
      <c r="AA64" s="231">
        <v>0</v>
      </c>
      <c r="AB64" s="231">
        <v>0</v>
      </c>
      <c r="AC64" s="231">
        <v>0</v>
      </c>
      <c r="AD64" s="231">
        <v>0</v>
      </c>
      <c r="AE64" s="231">
        <f t="shared" ref="AE64:AG64" si="22">AE65</f>
        <v>445</v>
      </c>
      <c r="AF64" s="231">
        <f t="shared" si="22"/>
        <v>0</v>
      </c>
      <c r="AG64" s="231">
        <f t="shared" si="22"/>
        <v>445</v>
      </c>
      <c r="AH64" s="241"/>
    </row>
    <row r="65" spans="1:34" s="226" customFormat="1" ht="13.5" customHeight="1" x14ac:dyDescent="0.2">
      <c r="A65" s="226">
        <v>42</v>
      </c>
      <c r="B65" s="227">
        <v>47</v>
      </c>
      <c r="C65" s="234">
        <v>250</v>
      </c>
      <c r="D65" s="234"/>
      <c r="E65" s="234"/>
      <c r="F65" s="234"/>
      <c r="G65" s="234"/>
      <c r="H65" s="234"/>
      <c r="I65" s="234"/>
      <c r="J65" s="234"/>
      <c r="K65" s="234"/>
      <c r="L65" s="234"/>
      <c r="M65" s="234">
        <v>150</v>
      </c>
      <c r="N65" s="234"/>
      <c r="O65" s="234"/>
      <c r="P65" s="234"/>
      <c r="Q65" s="234"/>
      <c r="R65" s="234"/>
      <c r="S65" s="234">
        <v>45</v>
      </c>
      <c r="T65" s="234"/>
      <c r="U65" s="234"/>
      <c r="V65" s="234"/>
      <c r="W65" s="234"/>
      <c r="X65" s="234"/>
      <c r="Y65" s="235"/>
      <c r="Z65" s="235"/>
      <c r="AA65" s="235"/>
      <c r="AB65" s="234"/>
      <c r="AC65" s="234"/>
      <c r="AD65" s="233"/>
      <c r="AE65" s="246">
        <f>C65+D65+E65+F65+G65+H65+I65+J65+K65+L65+M65+N65+O65+P65+Q65+R65+S65+T65+U65+V65+W65+X65+Y65+Z65+AA65+AB65+AC65+AD65</f>
        <v>445</v>
      </c>
      <c r="AF65" s="235"/>
      <c r="AG65" s="246">
        <f>AE65+AF65</f>
        <v>445</v>
      </c>
      <c r="AH65" s="228"/>
    </row>
    <row r="66" spans="1:34" s="239" customFormat="1" ht="22.5" customHeight="1" x14ac:dyDescent="0.2">
      <c r="A66" s="239">
        <v>0</v>
      </c>
      <c r="B66" s="230" t="s">
        <v>632</v>
      </c>
      <c r="C66" s="231">
        <v>100</v>
      </c>
      <c r="D66" s="231">
        <v>21</v>
      </c>
      <c r="E66" s="231">
        <v>0</v>
      </c>
      <c r="F66" s="231">
        <v>3572</v>
      </c>
      <c r="G66" s="231">
        <v>0</v>
      </c>
      <c r="H66" s="231">
        <v>0</v>
      </c>
      <c r="I66" s="231">
        <v>0</v>
      </c>
      <c r="J66" s="231">
        <v>0</v>
      </c>
      <c r="K66" s="231">
        <v>0</v>
      </c>
      <c r="L66" s="231">
        <v>0</v>
      </c>
      <c r="M66" s="231">
        <v>0</v>
      </c>
      <c r="N66" s="231">
        <v>118</v>
      </c>
      <c r="O66" s="231">
        <v>5</v>
      </c>
      <c r="P66" s="231">
        <v>0</v>
      </c>
      <c r="Q66" s="231">
        <v>4</v>
      </c>
      <c r="R66" s="231">
        <v>3</v>
      </c>
      <c r="S66" s="231">
        <v>5</v>
      </c>
      <c r="T66" s="231">
        <v>4</v>
      </c>
      <c r="U66" s="231">
        <v>4</v>
      </c>
      <c r="V66" s="231">
        <v>4</v>
      </c>
      <c r="W66" s="231">
        <v>0</v>
      </c>
      <c r="X66" s="231">
        <v>2</v>
      </c>
      <c r="Y66" s="231">
        <v>0</v>
      </c>
      <c r="Z66" s="231">
        <v>0</v>
      </c>
      <c r="AA66" s="231">
        <v>0</v>
      </c>
      <c r="AB66" s="231">
        <v>0</v>
      </c>
      <c r="AC66" s="231">
        <v>111</v>
      </c>
      <c r="AD66" s="231">
        <v>0</v>
      </c>
      <c r="AE66" s="231">
        <f>SUM(AE67:AE84)</f>
        <v>3953</v>
      </c>
      <c r="AF66" s="231">
        <f>SUM(AF67:AF84)</f>
        <v>0</v>
      </c>
      <c r="AG66" s="231">
        <f>SUM(AG67:AG84)</f>
        <v>3953</v>
      </c>
      <c r="AH66" s="241"/>
    </row>
    <row r="67" spans="1:34" s="226" customFormat="1" ht="13.5" customHeight="1" x14ac:dyDescent="0.2">
      <c r="A67" s="226">
        <v>46</v>
      </c>
      <c r="B67" s="227">
        <v>48</v>
      </c>
      <c r="C67" s="250">
        <v>45</v>
      </c>
      <c r="D67" s="250">
        <v>3</v>
      </c>
      <c r="E67" s="250"/>
      <c r="F67" s="250">
        <v>478</v>
      </c>
      <c r="G67" s="250"/>
      <c r="H67" s="251"/>
      <c r="I67" s="250"/>
      <c r="J67" s="250"/>
      <c r="K67" s="250"/>
      <c r="L67" s="234"/>
      <c r="M67" s="250"/>
      <c r="N67" s="242"/>
      <c r="O67" s="250">
        <v>3</v>
      </c>
      <c r="P67" s="251"/>
      <c r="Q67" s="250">
        <v>2</v>
      </c>
      <c r="R67" s="250">
        <v>3</v>
      </c>
      <c r="S67" s="250">
        <v>3</v>
      </c>
      <c r="T67" s="233">
        <v>2</v>
      </c>
      <c r="U67" s="247">
        <v>2</v>
      </c>
      <c r="V67" s="234">
        <v>2</v>
      </c>
      <c r="W67" s="234"/>
      <c r="X67" s="234">
        <v>2</v>
      </c>
      <c r="Y67" s="240"/>
      <c r="Z67" s="240"/>
      <c r="AA67" s="240"/>
      <c r="AB67" s="234"/>
      <c r="AC67" s="234">
        <v>23</v>
      </c>
      <c r="AD67" s="233"/>
      <c r="AE67" s="246">
        <f t="shared" ref="AE67:AE84" si="23">C67+D67+E67+F67+G67+H67+I67+J67+K67+L67+M67+N67+O67+P67+Q67+R67+S67+T67+U67+V67+W67+X67+Y67+Z67+AA67+AB67+AC67+AD67</f>
        <v>568</v>
      </c>
      <c r="AF67" s="240"/>
      <c r="AG67" s="236">
        <f t="shared" ref="AG67:AG84" si="24">AE67+AF67</f>
        <v>568</v>
      </c>
      <c r="AH67" s="228"/>
    </row>
    <row r="68" spans="1:34" s="226" customFormat="1" ht="13.5" customHeight="1" x14ac:dyDescent="0.2">
      <c r="A68" s="226">
        <v>47</v>
      </c>
      <c r="B68" s="227">
        <v>49</v>
      </c>
      <c r="C68" s="234">
        <v>39</v>
      </c>
      <c r="D68" s="234">
        <v>1</v>
      </c>
      <c r="E68" s="250"/>
      <c r="F68" s="234">
        <v>303</v>
      </c>
      <c r="G68" s="234"/>
      <c r="H68" s="234"/>
      <c r="I68" s="234"/>
      <c r="J68" s="234"/>
      <c r="K68" s="234"/>
      <c r="L68" s="234"/>
      <c r="M68" s="234"/>
      <c r="N68" s="233">
        <v>40</v>
      </c>
      <c r="O68" s="234">
        <v>1</v>
      </c>
      <c r="P68" s="234"/>
      <c r="Q68" s="234">
        <v>1</v>
      </c>
      <c r="R68" s="234"/>
      <c r="S68" s="234">
        <v>1</v>
      </c>
      <c r="T68" s="233">
        <v>1</v>
      </c>
      <c r="U68" s="247">
        <v>1</v>
      </c>
      <c r="V68" s="234">
        <v>1</v>
      </c>
      <c r="W68" s="234"/>
      <c r="X68" s="234"/>
      <c r="Y68" s="240"/>
      <c r="Z68" s="240"/>
      <c r="AA68" s="240"/>
      <c r="AB68" s="234"/>
      <c r="AC68" s="234">
        <v>18</v>
      </c>
      <c r="AD68" s="233"/>
      <c r="AE68" s="246">
        <f t="shared" si="23"/>
        <v>407</v>
      </c>
      <c r="AF68" s="240"/>
      <c r="AG68" s="236">
        <f t="shared" si="24"/>
        <v>407</v>
      </c>
      <c r="AH68" s="228"/>
    </row>
    <row r="69" spans="1:34" s="226" customFormat="1" ht="13.5" customHeight="1" x14ac:dyDescent="0.2">
      <c r="A69" s="226">
        <v>48</v>
      </c>
      <c r="B69" s="227">
        <v>50</v>
      </c>
      <c r="C69" s="234">
        <v>16</v>
      </c>
      <c r="D69" s="234">
        <v>1</v>
      </c>
      <c r="E69" s="250"/>
      <c r="F69" s="234">
        <v>242</v>
      </c>
      <c r="G69" s="234"/>
      <c r="H69" s="238"/>
      <c r="I69" s="234"/>
      <c r="J69" s="234"/>
      <c r="K69" s="234"/>
      <c r="L69" s="234"/>
      <c r="M69" s="234"/>
      <c r="N69" s="233">
        <v>40</v>
      </c>
      <c r="O69" s="234">
        <v>1</v>
      </c>
      <c r="P69" s="238"/>
      <c r="Q69" s="234">
        <v>1</v>
      </c>
      <c r="R69" s="234"/>
      <c r="S69" s="234">
        <v>1</v>
      </c>
      <c r="T69" s="233">
        <v>1</v>
      </c>
      <c r="U69" s="247">
        <v>1</v>
      </c>
      <c r="V69" s="233">
        <v>1</v>
      </c>
      <c r="W69" s="233"/>
      <c r="X69" s="234"/>
      <c r="Y69" s="252"/>
      <c r="Z69" s="252"/>
      <c r="AA69" s="252"/>
      <c r="AB69" s="234"/>
      <c r="AC69" s="234">
        <v>12</v>
      </c>
      <c r="AD69" s="233"/>
      <c r="AE69" s="246">
        <f t="shared" si="23"/>
        <v>317</v>
      </c>
      <c r="AF69" s="252"/>
      <c r="AG69" s="236">
        <f t="shared" si="24"/>
        <v>317</v>
      </c>
      <c r="AH69" s="228"/>
    </row>
    <row r="70" spans="1:34" s="226" customFormat="1" ht="13.5" customHeight="1" x14ac:dyDescent="0.2">
      <c r="A70" s="226">
        <v>49</v>
      </c>
      <c r="B70" s="227">
        <v>51</v>
      </c>
      <c r="C70" s="234"/>
      <c r="D70" s="234"/>
      <c r="E70" s="250"/>
      <c r="F70" s="234">
        <v>7</v>
      </c>
      <c r="G70" s="234"/>
      <c r="H70" s="238"/>
      <c r="I70" s="234"/>
      <c r="J70" s="234"/>
      <c r="K70" s="234"/>
      <c r="L70" s="234"/>
      <c r="M70" s="234"/>
      <c r="N70" s="233"/>
      <c r="O70" s="234"/>
      <c r="P70" s="238"/>
      <c r="Q70" s="234"/>
      <c r="R70" s="234"/>
      <c r="S70" s="234"/>
      <c r="T70" s="233"/>
      <c r="U70" s="247"/>
      <c r="V70" s="233"/>
      <c r="W70" s="233"/>
      <c r="X70" s="234"/>
      <c r="Y70" s="252"/>
      <c r="Z70" s="252"/>
      <c r="AA70" s="252"/>
      <c r="AB70" s="234"/>
      <c r="AC70" s="234"/>
      <c r="AD70" s="233"/>
      <c r="AE70" s="246">
        <f t="shared" si="23"/>
        <v>7</v>
      </c>
      <c r="AF70" s="252"/>
      <c r="AG70" s="236">
        <f t="shared" si="24"/>
        <v>7</v>
      </c>
      <c r="AH70" s="228"/>
    </row>
    <row r="71" spans="1:34" s="226" customFormat="1" ht="13.5" customHeight="1" x14ac:dyDescent="0.2">
      <c r="A71" s="226">
        <v>50</v>
      </c>
      <c r="B71" s="227">
        <v>52</v>
      </c>
      <c r="C71" s="234"/>
      <c r="D71" s="234"/>
      <c r="E71" s="250"/>
      <c r="F71" s="234">
        <v>1173</v>
      </c>
      <c r="G71" s="234"/>
      <c r="H71" s="234"/>
      <c r="I71" s="234"/>
      <c r="J71" s="234"/>
      <c r="K71" s="234"/>
      <c r="L71" s="234"/>
      <c r="M71" s="234"/>
      <c r="N71" s="233">
        <v>38</v>
      </c>
      <c r="O71" s="234"/>
      <c r="P71" s="234"/>
      <c r="Q71" s="234"/>
      <c r="R71" s="234"/>
      <c r="S71" s="234"/>
      <c r="T71" s="233"/>
      <c r="U71" s="233"/>
      <c r="V71" s="233"/>
      <c r="W71" s="233"/>
      <c r="X71" s="234"/>
      <c r="Y71" s="252"/>
      <c r="Z71" s="252"/>
      <c r="AA71" s="252"/>
      <c r="AB71" s="234"/>
      <c r="AC71" s="234">
        <v>46</v>
      </c>
      <c r="AD71" s="233"/>
      <c r="AE71" s="246">
        <f t="shared" si="23"/>
        <v>1257</v>
      </c>
      <c r="AF71" s="252"/>
      <c r="AG71" s="236">
        <f t="shared" si="24"/>
        <v>1257</v>
      </c>
      <c r="AH71" s="228"/>
    </row>
    <row r="72" spans="1:34" s="226" customFormat="1" ht="13.5" customHeight="1" x14ac:dyDescent="0.2">
      <c r="A72" s="226">
        <v>51</v>
      </c>
      <c r="B72" s="227">
        <v>53</v>
      </c>
      <c r="C72" s="234"/>
      <c r="D72" s="234"/>
      <c r="E72" s="250"/>
      <c r="F72" s="234">
        <v>203</v>
      </c>
      <c r="G72" s="234"/>
      <c r="H72" s="234"/>
      <c r="I72" s="234"/>
      <c r="J72" s="234"/>
      <c r="K72" s="234"/>
      <c r="L72" s="234"/>
      <c r="M72" s="234"/>
      <c r="N72" s="233"/>
      <c r="O72" s="234"/>
      <c r="P72" s="234"/>
      <c r="Q72" s="234"/>
      <c r="R72" s="234"/>
      <c r="S72" s="234"/>
      <c r="T72" s="233"/>
      <c r="U72" s="233"/>
      <c r="V72" s="233"/>
      <c r="W72" s="233"/>
      <c r="X72" s="234"/>
      <c r="Y72" s="252"/>
      <c r="Z72" s="252"/>
      <c r="AA72" s="252"/>
      <c r="AB72" s="234"/>
      <c r="AC72" s="234">
        <v>0</v>
      </c>
      <c r="AD72" s="233"/>
      <c r="AE72" s="246">
        <f t="shared" si="23"/>
        <v>203</v>
      </c>
      <c r="AF72" s="252"/>
      <c r="AG72" s="236">
        <f t="shared" si="24"/>
        <v>203</v>
      </c>
      <c r="AH72" s="228"/>
    </row>
    <row r="73" spans="1:34" s="226" customFormat="1" ht="13.5" customHeight="1" x14ac:dyDescent="0.2">
      <c r="A73" s="226">
        <v>52</v>
      </c>
      <c r="B73" s="227">
        <v>54</v>
      </c>
      <c r="C73" s="234"/>
      <c r="D73" s="234"/>
      <c r="E73" s="250"/>
      <c r="F73" s="234">
        <v>70</v>
      </c>
      <c r="G73" s="234"/>
      <c r="H73" s="238"/>
      <c r="I73" s="234"/>
      <c r="J73" s="234"/>
      <c r="K73" s="234"/>
      <c r="L73" s="238"/>
      <c r="M73" s="234"/>
      <c r="N73" s="233"/>
      <c r="O73" s="238"/>
      <c r="P73" s="238"/>
      <c r="Q73" s="234"/>
      <c r="R73" s="234"/>
      <c r="S73" s="234"/>
      <c r="T73" s="233"/>
      <c r="U73" s="233"/>
      <c r="V73" s="233"/>
      <c r="W73" s="233"/>
      <c r="X73" s="233"/>
      <c r="Y73" s="235"/>
      <c r="Z73" s="235"/>
      <c r="AA73" s="235"/>
      <c r="AB73" s="234"/>
      <c r="AC73" s="234">
        <v>12</v>
      </c>
      <c r="AD73" s="233"/>
      <c r="AE73" s="246">
        <f t="shared" si="23"/>
        <v>82</v>
      </c>
      <c r="AF73" s="235"/>
      <c r="AG73" s="236">
        <f t="shared" si="24"/>
        <v>82</v>
      </c>
      <c r="AH73" s="228"/>
    </row>
    <row r="74" spans="1:34" s="226" customFormat="1" ht="13.5" customHeight="1" x14ac:dyDescent="0.2">
      <c r="A74" s="226">
        <v>53</v>
      </c>
      <c r="B74" s="227">
        <v>55</v>
      </c>
      <c r="C74" s="234"/>
      <c r="D74" s="234"/>
      <c r="E74" s="250"/>
      <c r="F74" s="234">
        <v>20</v>
      </c>
      <c r="G74" s="234"/>
      <c r="H74" s="238"/>
      <c r="I74" s="234"/>
      <c r="J74" s="234"/>
      <c r="K74" s="234"/>
      <c r="L74" s="238"/>
      <c r="M74" s="234"/>
      <c r="N74" s="233"/>
      <c r="O74" s="238"/>
      <c r="P74" s="238"/>
      <c r="Q74" s="234"/>
      <c r="R74" s="234"/>
      <c r="S74" s="234"/>
      <c r="T74" s="233"/>
      <c r="U74" s="233"/>
      <c r="V74" s="233"/>
      <c r="W74" s="233"/>
      <c r="X74" s="233"/>
      <c r="Y74" s="235"/>
      <c r="Z74" s="235"/>
      <c r="AA74" s="235"/>
      <c r="AB74" s="234"/>
      <c r="AC74" s="234"/>
      <c r="AD74" s="233"/>
      <c r="AE74" s="246">
        <f t="shared" si="23"/>
        <v>20</v>
      </c>
      <c r="AF74" s="235"/>
      <c r="AG74" s="236">
        <f t="shared" si="24"/>
        <v>20</v>
      </c>
      <c r="AH74" s="228"/>
    </row>
    <row r="75" spans="1:34" s="226" customFormat="1" ht="13.5" customHeight="1" x14ac:dyDescent="0.2">
      <c r="A75" s="226">
        <v>54</v>
      </c>
      <c r="B75" s="227">
        <v>56</v>
      </c>
      <c r="C75" s="234"/>
      <c r="D75" s="234"/>
      <c r="E75" s="250"/>
      <c r="F75" s="234">
        <v>5</v>
      </c>
      <c r="G75" s="234"/>
      <c r="H75" s="238"/>
      <c r="I75" s="234"/>
      <c r="J75" s="234"/>
      <c r="K75" s="234"/>
      <c r="L75" s="238"/>
      <c r="M75" s="234"/>
      <c r="N75" s="233"/>
      <c r="O75" s="238"/>
      <c r="P75" s="238"/>
      <c r="Q75" s="234"/>
      <c r="R75" s="234"/>
      <c r="S75" s="234"/>
      <c r="T75" s="233"/>
      <c r="U75" s="233"/>
      <c r="V75" s="233"/>
      <c r="W75" s="233"/>
      <c r="X75" s="233"/>
      <c r="Y75" s="235"/>
      <c r="Z75" s="235"/>
      <c r="AA75" s="235"/>
      <c r="AB75" s="234"/>
      <c r="AC75" s="234"/>
      <c r="AD75" s="233"/>
      <c r="AE75" s="246">
        <f t="shared" si="23"/>
        <v>5</v>
      </c>
      <c r="AF75" s="235"/>
      <c r="AG75" s="236">
        <f t="shared" si="24"/>
        <v>5</v>
      </c>
      <c r="AH75" s="228"/>
    </row>
    <row r="76" spans="1:34" s="226" customFormat="1" ht="13.5" customHeight="1" x14ac:dyDescent="0.2">
      <c r="A76" s="226">
        <v>55</v>
      </c>
      <c r="B76" s="227">
        <v>57</v>
      </c>
      <c r="C76" s="234"/>
      <c r="D76" s="234"/>
      <c r="E76" s="250"/>
      <c r="F76" s="234"/>
      <c r="G76" s="234"/>
      <c r="H76" s="238"/>
      <c r="I76" s="234"/>
      <c r="J76" s="234"/>
      <c r="K76" s="234"/>
      <c r="L76" s="238"/>
      <c r="M76" s="234"/>
      <c r="N76" s="233"/>
      <c r="O76" s="238"/>
      <c r="P76" s="238"/>
      <c r="Q76" s="234"/>
      <c r="R76" s="234"/>
      <c r="S76" s="234"/>
      <c r="T76" s="233"/>
      <c r="U76" s="233"/>
      <c r="V76" s="233"/>
      <c r="W76" s="233"/>
      <c r="X76" s="233"/>
      <c r="Y76" s="235"/>
      <c r="Z76" s="235"/>
      <c r="AA76" s="235"/>
      <c r="AB76" s="234"/>
      <c r="AC76" s="234"/>
      <c r="AD76" s="233"/>
      <c r="AE76" s="246">
        <f t="shared" si="23"/>
        <v>0</v>
      </c>
      <c r="AF76" s="235"/>
      <c r="AG76" s="236">
        <f t="shared" si="24"/>
        <v>0</v>
      </c>
      <c r="AH76" s="228"/>
    </row>
    <row r="77" spans="1:34" s="226" customFormat="1" ht="13.5" customHeight="1" x14ac:dyDescent="0.2">
      <c r="A77" s="226">
        <v>56</v>
      </c>
      <c r="B77" s="227">
        <v>58</v>
      </c>
      <c r="C77" s="234"/>
      <c r="D77" s="234">
        <v>16</v>
      </c>
      <c r="E77" s="250"/>
      <c r="F77" s="234"/>
      <c r="G77" s="234"/>
      <c r="H77" s="238"/>
      <c r="I77" s="234"/>
      <c r="J77" s="234"/>
      <c r="K77" s="234"/>
      <c r="L77" s="238"/>
      <c r="M77" s="234"/>
      <c r="N77" s="233"/>
      <c r="O77" s="238"/>
      <c r="P77" s="238"/>
      <c r="Q77" s="234"/>
      <c r="R77" s="234"/>
      <c r="S77" s="234"/>
      <c r="T77" s="233"/>
      <c r="U77" s="233"/>
      <c r="V77" s="233"/>
      <c r="W77" s="233"/>
      <c r="X77" s="233"/>
      <c r="Y77" s="235"/>
      <c r="Z77" s="235"/>
      <c r="AA77" s="235"/>
      <c r="AB77" s="234"/>
      <c r="AC77" s="234"/>
      <c r="AD77" s="233"/>
      <c r="AE77" s="246">
        <f t="shared" si="23"/>
        <v>16</v>
      </c>
      <c r="AF77" s="235"/>
      <c r="AG77" s="236">
        <f t="shared" si="24"/>
        <v>16</v>
      </c>
      <c r="AH77" s="228"/>
    </row>
    <row r="78" spans="1:34" s="226" customFormat="1" ht="13.5" customHeight="1" x14ac:dyDescent="0.2">
      <c r="A78" s="226">
        <v>57</v>
      </c>
      <c r="B78" s="227">
        <v>59</v>
      </c>
      <c r="C78" s="234"/>
      <c r="D78" s="234"/>
      <c r="E78" s="250"/>
      <c r="F78" s="234"/>
      <c r="G78" s="234"/>
      <c r="H78" s="238"/>
      <c r="I78" s="234"/>
      <c r="J78" s="234"/>
      <c r="K78" s="234"/>
      <c r="L78" s="238"/>
      <c r="M78" s="234"/>
      <c r="N78" s="233"/>
      <c r="O78" s="238"/>
      <c r="P78" s="238"/>
      <c r="Q78" s="234"/>
      <c r="R78" s="234"/>
      <c r="S78" s="234"/>
      <c r="T78" s="233"/>
      <c r="U78" s="233"/>
      <c r="V78" s="233"/>
      <c r="W78" s="233"/>
      <c r="X78" s="233"/>
      <c r="Y78" s="235"/>
      <c r="Z78" s="235"/>
      <c r="AA78" s="235"/>
      <c r="AB78" s="234"/>
      <c r="AC78" s="234"/>
      <c r="AD78" s="233"/>
      <c r="AE78" s="246">
        <f t="shared" si="23"/>
        <v>0</v>
      </c>
      <c r="AF78" s="235"/>
      <c r="AG78" s="236">
        <f t="shared" si="24"/>
        <v>0</v>
      </c>
      <c r="AH78" s="228"/>
    </row>
    <row r="79" spans="1:34" s="226" customFormat="1" ht="13.5" customHeight="1" x14ac:dyDescent="0.2">
      <c r="A79" s="226">
        <v>58</v>
      </c>
      <c r="B79" s="227">
        <v>60</v>
      </c>
      <c r="C79" s="234"/>
      <c r="D79" s="234"/>
      <c r="E79" s="250"/>
      <c r="F79" s="234"/>
      <c r="G79" s="234"/>
      <c r="H79" s="238"/>
      <c r="I79" s="234"/>
      <c r="J79" s="234"/>
      <c r="K79" s="234"/>
      <c r="L79" s="238"/>
      <c r="M79" s="234"/>
      <c r="N79" s="233"/>
      <c r="O79" s="234"/>
      <c r="P79" s="238"/>
      <c r="Q79" s="234"/>
      <c r="R79" s="234"/>
      <c r="S79" s="234"/>
      <c r="T79" s="234"/>
      <c r="U79" s="233"/>
      <c r="V79" s="233"/>
      <c r="W79" s="233"/>
      <c r="X79" s="233"/>
      <c r="Y79" s="235"/>
      <c r="Z79" s="235"/>
      <c r="AA79" s="235"/>
      <c r="AB79" s="234"/>
      <c r="AC79" s="234"/>
      <c r="AD79" s="233"/>
      <c r="AE79" s="246">
        <f t="shared" si="23"/>
        <v>0</v>
      </c>
      <c r="AF79" s="235"/>
      <c r="AG79" s="236">
        <f t="shared" si="24"/>
        <v>0</v>
      </c>
      <c r="AH79" s="228"/>
    </row>
    <row r="80" spans="1:34" s="226" customFormat="1" ht="13.5" customHeight="1" x14ac:dyDescent="0.2">
      <c r="A80" s="226">
        <v>59</v>
      </c>
      <c r="B80" s="227">
        <v>61</v>
      </c>
      <c r="C80" s="234"/>
      <c r="D80" s="234"/>
      <c r="E80" s="250"/>
      <c r="F80" s="234">
        <v>235</v>
      </c>
      <c r="G80" s="234"/>
      <c r="H80" s="238"/>
      <c r="I80" s="234"/>
      <c r="J80" s="234"/>
      <c r="K80" s="234"/>
      <c r="L80" s="238"/>
      <c r="M80" s="234"/>
      <c r="N80" s="233"/>
      <c r="O80" s="238"/>
      <c r="P80" s="238"/>
      <c r="Q80" s="234"/>
      <c r="R80" s="234"/>
      <c r="S80" s="234"/>
      <c r="T80" s="234"/>
      <c r="U80" s="233"/>
      <c r="V80" s="233"/>
      <c r="W80" s="233"/>
      <c r="X80" s="233"/>
      <c r="Y80" s="235"/>
      <c r="Z80" s="235"/>
      <c r="AA80" s="235"/>
      <c r="AB80" s="234"/>
      <c r="AC80" s="234"/>
      <c r="AD80" s="233"/>
      <c r="AE80" s="246">
        <f t="shared" si="23"/>
        <v>235</v>
      </c>
      <c r="AF80" s="235"/>
      <c r="AG80" s="236">
        <f t="shared" si="24"/>
        <v>235</v>
      </c>
      <c r="AH80" s="228"/>
    </row>
    <row r="81" spans="1:34" s="226" customFormat="1" ht="13.5" customHeight="1" x14ac:dyDescent="0.2">
      <c r="A81" s="226">
        <v>60</v>
      </c>
      <c r="B81" s="227">
        <v>62</v>
      </c>
      <c r="C81" s="233"/>
      <c r="D81" s="233"/>
      <c r="E81" s="250"/>
      <c r="F81" s="233">
        <v>310</v>
      </c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5"/>
      <c r="Z81" s="235"/>
      <c r="AA81" s="235"/>
      <c r="AB81" s="233"/>
      <c r="AC81" s="233"/>
      <c r="AD81" s="233"/>
      <c r="AE81" s="246">
        <f t="shared" si="23"/>
        <v>310</v>
      </c>
      <c r="AF81" s="235"/>
      <c r="AG81" s="236">
        <f t="shared" si="24"/>
        <v>310</v>
      </c>
      <c r="AH81" s="228"/>
    </row>
    <row r="82" spans="1:34" s="226" customFormat="1" ht="13.5" customHeight="1" x14ac:dyDescent="0.2">
      <c r="A82" s="226">
        <v>61</v>
      </c>
      <c r="B82" s="227">
        <v>63</v>
      </c>
      <c r="C82" s="233"/>
      <c r="D82" s="233"/>
      <c r="E82" s="250"/>
      <c r="F82" s="233">
        <v>326</v>
      </c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5"/>
      <c r="Z82" s="235"/>
      <c r="AA82" s="235"/>
      <c r="AB82" s="233"/>
      <c r="AC82" s="233"/>
      <c r="AD82" s="233"/>
      <c r="AE82" s="246">
        <f t="shared" si="23"/>
        <v>326</v>
      </c>
      <c r="AF82" s="235"/>
      <c r="AG82" s="236">
        <f t="shared" si="24"/>
        <v>326</v>
      </c>
      <c r="AH82" s="228"/>
    </row>
    <row r="83" spans="1:34" s="226" customFormat="1" ht="13.5" customHeight="1" x14ac:dyDescent="0.2">
      <c r="A83" s="226">
        <v>62</v>
      </c>
      <c r="B83" s="227">
        <v>64</v>
      </c>
      <c r="C83" s="233"/>
      <c r="D83" s="233"/>
      <c r="E83" s="250"/>
      <c r="F83" s="233">
        <v>200</v>
      </c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5"/>
      <c r="Z83" s="235"/>
      <c r="AA83" s="235"/>
      <c r="AB83" s="233"/>
      <c r="AC83" s="233"/>
      <c r="AD83" s="233"/>
      <c r="AE83" s="246">
        <f t="shared" si="23"/>
        <v>200</v>
      </c>
      <c r="AF83" s="235"/>
      <c r="AG83" s="236">
        <f t="shared" si="24"/>
        <v>200</v>
      </c>
      <c r="AH83" s="228"/>
    </row>
    <row r="84" spans="1:34" s="226" customFormat="1" ht="13.5" customHeight="1" x14ac:dyDescent="0.2">
      <c r="A84" s="226">
        <v>63</v>
      </c>
      <c r="B84" s="227">
        <v>65</v>
      </c>
      <c r="C84" s="233"/>
      <c r="D84" s="233"/>
      <c r="E84" s="250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5"/>
      <c r="Z84" s="235"/>
      <c r="AA84" s="235"/>
      <c r="AB84" s="233"/>
      <c r="AC84" s="233"/>
      <c r="AD84" s="233"/>
      <c r="AE84" s="246">
        <f t="shared" si="23"/>
        <v>0</v>
      </c>
      <c r="AF84" s="235"/>
      <c r="AG84" s="236">
        <f t="shared" si="24"/>
        <v>0</v>
      </c>
      <c r="AH84" s="228"/>
    </row>
    <row r="85" spans="1:34" s="226" customFormat="1" ht="22.5" customHeight="1" x14ac:dyDescent="0.2">
      <c r="A85" s="226">
        <v>0</v>
      </c>
      <c r="B85" s="230" t="s">
        <v>633</v>
      </c>
      <c r="C85" s="231">
        <v>30</v>
      </c>
      <c r="D85" s="231">
        <v>0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13</v>
      </c>
      <c r="K85" s="231">
        <v>10</v>
      </c>
      <c r="L85" s="231">
        <v>0</v>
      </c>
      <c r="M85" s="231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1">
        <v>0</v>
      </c>
      <c r="W85" s="231">
        <v>0</v>
      </c>
      <c r="X85" s="231">
        <v>0</v>
      </c>
      <c r="Y85" s="231">
        <v>0</v>
      </c>
      <c r="Z85" s="231">
        <v>0</v>
      </c>
      <c r="AA85" s="231">
        <v>0</v>
      </c>
      <c r="AB85" s="231">
        <v>0</v>
      </c>
      <c r="AC85" s="231">
        <v>0</v>
      </c>
      <c r="AD85" s="231">
        <v>0</v>
      </c>
      <c r="AE85" s="231">
        <f t="shared" ref="AE85:AG85" si="25">AE86+AE87</f>
        <v>53</v>
      </c>
      <c r="AF85" s="231">
        <f t="shared" si="25"/>
        <v>0</v>
      </c>
      <c r="AG85" s="231">
        <f t="shared" si="25"/>
        <v>53</v>
      </c>
      <c r="AH85" s="228"/>
    </row>
    <row r="86" spans="1:34" s="226" customFormat="1" ht="13.5" customHeight="1" x14ac:dyDescent="0.2">
      <c r="A86" s="226">
        <v>65</v>
      </c>
      <c r="B86" s="227">
        <v>66</v>
      </c>
      <c r="C86" s="234">
        <v>20</v>
      </c>
      <c r="D86" s="234"/>
      <c r="E86" s="234"/>
      <c r="F86" s="234"/>
      <c r="G86" s="234"/>
      <c r="H86" s="238"/>
      <c r="I86" s="234"/>
      <c r="J86" s="234">
        <v>13</v>
      </c>
      <c r="K86" s="234">
        <v>10</v>
      </c>
      <c r="L86" s="238"/>
      <c r="M86" s="234"/>
      <c r="N86" s="233"/>
      <c r="O86" s="238"/>
      <c r="P86" s="238"/>
      <c r="Q86" s="234"/>
      <c r="R86" s="234"/>
      <c r="S86" s="234"/>
      <c r="T86" s="234"/>
      <c r="U86" s="233"/>
      <c r="V86" s="233"/>
      <c r="W86" s="233"/>
      <c r="X86" s="233"/>
      <c r="Y86" s="235"/>
      <c r="Z86" s="235"/>
      <c r="AA86" s="235"/>
      <c r="AB86" s="234"/>
      <c r="AC86" s="234"/>
      <c r="AD86" s="233"/>
      <c r="AE86" s="246">
        <f>C86+D86+E86+F86+G86+H86+I86+J86+K86+L86+M86+N86+O86+P86+Q86+R86+S86+T86+U86+V86+W86+X86+Y86+Z86+AA86+AB86+AC86+AD86</f>
        <v>43</v>
      </c>
      <c r="AF86" s="235"/>
      <c r="AG86" s="236">
        <f>AE86+AF86</f>
        <v>43</v>
      </c>
      <c r="AH86" s="228"/>
    </row>
    <row r="87" spans="1:34" s="239" customFormat="1" ht="13.5" customHeight="1" x14ac:dyDescent="0.2">
      <c r="A87" s="239">
        <v>66</v>
      </c>
      <c r="B87" s="253">
        <v>67</v>
      </c>
      <c r="C87" s="234">
        <v>10</v>
      </c>
      <c r="D87" s="234"/>
      <c r="E87" s="234"/>
      <c r="F87" s="234"/>
      <c r="G87" s="234"/>
      <c r="H87" s="238"/>
      <c r="I87" s="234"/>
      <c r="J87" s="234"/>
      <c r="K87" s="234"/>
      <c r="L87" s="238"/>
      <c r="M87" s="234"/>
      <c r="N87" s="233"/>
      <c r="O87" s="238"/>
      <c r="P87" s="238"/>
      <c r="Q87" s="234"/>
      <c r="R87" s="234"/>
      <c r="S87" s="234"/>
      <c r="T87" s="234"/>
      <c r="U87" s="233"/>
      <c r="V87" s="233"/>
      <c r="W87" s="233"/>
      <c r="X87" s="233"/>
      <c r="Y87" s="235"/>
      <c r="Z87" s="235"/>
      <c r="AA87" s="235"/>
      <c r="AB87" s="234"/>
      <c r="AC87" s="234"/>
      <c r="AD87" s="233"/>
      <c r="AE87" s="246">
        <f>C87+D87+E87+F87+G87+H87+I87+J87+K87+L87+M87+N87+O87+P87+Q87+R87+S87+T87+U87+V87+W87+X87+Y87+Z87+AA87+AB87+AC87+AD87</f>
        <v>10</v>
      </c>
      <c r="AF87" s="235"/>
      <c r="AG87" s="236">
        <f>AE87+AF87</f>
        <v>10</v>
      </c>
      <c r="AH87" s="241"/>
    </row>
    <row r="88" spans="1:34" s="226" customFormat="1" ht="22.5" customHeight="1" x14ac:dyDescent="0.2">
      <c r="A88" s="226">
        <v>0</v>
      </c>
      <c r="B88" s="230" t="s">
        <v>634</v>
      </c>
      <c r="C88" s="231">
        <v>384</v>
      </c>
      <c r="D88" s="231">
        <v>220</v>
      </c>
      <c r="E88" s="231">
        <v>0</v>
      </c>
      <c r="F88" s="231">
        <v>0</v>
      </c>
      <c r="G88" s="231">
        <v>0</v>
      </c>
      <c r="H88" s="231">
        <v>0</v>
      </c>
      <c r="I88" s="231">
        <v>300</v>
      </c>
      <c r="J88" s="231">
        <v>79</v>
      </c>
      <c r="K88" s="231">
        <v>238</v>
      </c>
      <c r="L88" s="231">
        <v>0</v>
      </c>
      <c r="M88" s="231">
        <v>100</v>
      </c>
      <c r="N88" s="231">
        <v>220</v>
      </c>
      <c r="O88" s="231">
        <v>225</v>
      </c>
      <c r="P88" s="231">
        <v>0</v>
      </c>
      <c r="Q88" s="231">
        <v>30</v>
      </c>
      <c r="R88" s="231">
        <v>35</v>
      </c>
      <c r="S88" s="231">
        <v>91</v>
      </c>
      <c r="T88" s="231">
        <v>45</v>
      </c>
      <c r="U88" s="231">
        <v>0</v>
      </c>
      <c r="V88" s="231">
        <v>20</v>
      </c>
      <c r="W88" s="231">
        <v>10</v>
      </c>
      <c r="X88" s="231">
        <v>0</v>
      </c>
      <c r="Y88" s="231">
        <v>0</v>
      </c>
      <c r="Z88" s="231">
        <v>0</v>
      </c>
      <c r="AA88" s="231">
        <v>0</v>
      </c>
      <c r="AB88" s="231">
        <v>0</v>
      </c>
      <c r="AC88" s="231">
        <v>0</v>
      </c>
      <c r="AD88" s="231">
        <v>36</v>
      </c>
      <c r="AE88" s="231">
        <f t="shared" ref="AE88:AF88" si="26">SUM(AE89:AE97)</f>
        <v>2033</v>
      </c>
      <c r="AF88" s="231">
        <f t="shared" si="26"/>
        <v>0</v>
      </c>
      <c r="AG88" s="231">
        <f>SUM(AG89:AG97)</f>
        <v>2033</v>
      </c>
      <c r="AH88" s="228"/>
    </row>
    <row r="89" spans="1:34" s="226" customFormat="1" ht="13.5" customHeight="1" x14ac:dyDescent="0.2">
      <c r="A89" s="226">
        <v>67</v>
      </c>
      <c r="B89" s="254">
        <v>68</v>
      </c>
      <c r="C89" s="233">
        <v>80</v>
      </c>
      <c r="D89" s="233">
        <v>45</v>
      </c>
      <c r="E89" s="233"/>
      <c r="F89" s="233"/>
      <c r="G89" s="233"/>
      <c r="H89" s="233"/>
      <c r="I89" s="233">
        <v>44</v>
      </c>
      <c r="J89" s="233">
        <v>71</v>
      </c>
      <c r="K89" s="233">
        <v>208</v>
      </c>
      <c r="L89" s="233"/>
      <c r="M89" s="233">
        <v>55</v>
      </c>
      <c r="N89" s="233">
        <v>20</v>
      </c>
      <c r="O89" s="233">
        <v>65</v>
      </c>
      <c r="P89" s="233"/>
      <c r="Q89" s="233">
        <v>20</v>
      </c>
      <c r="R89" s="233"/>
      <c r="S89" s="233">
        <v>41</v>
      </c>
      <c r="T89" s="233">
        <v>5</v>
      </c>
      <c r="U89" s="233"/>
      <c r="V89" s="233"/>
      <c r="W89" s="233"/>
      <c r="X89" s="233"/>
      <c r="Y89" s="235"/>
      <c r="Z89" s="235"/>
      <c r="AA89" s="235"/>
      <c r="AB89" s="233"/>
      <c r="AC89" s="233"/>
      <c r="AD89" s="233">
        <v>12</v>
      </c>
      <c r="AE89" s="246">
        <f t="shared" ref="AE89:AE99" si="27">C89+D89+E89+F89+G89+H89+I89+J89+K89+L89+M89+N89+O89+P89+Q89+R89+S89+T89+U89+V89+W89+X89+Y89+Z89+AA89+AB89+AC89+AD89</f>
        <v>666</v>
      </c>
      <c r="AF89" s="235"/>
      <c r="AG89" s="236">
        <f t="shared" ref="AG89:AG99" si="28">AE89+AF89</f>
        <v>666</v>
      </c>
      <c r="AH89" s="228"/>
    </row>
    <row r="90" spans="1:34" s="226" customFormat="1" ht="13.5" customHeight="1" x14ac:dyDescent="0.2">
      <c r="A90" s="226">
        <v>68</v>
      </c>
      <c r="B90" s="254">
        <v>69</v>
      </c>
      <c r="C90" s="247">
        <v>15</v>
      </c>
      <c r="D90" s="233">
        <v>36</v>
      </c>
      <c r="E90" s="233"/>
      <c r="F90" s="233"/>
      <c r="G90" s="233"/>
      <c r="H90" s="233"/>
      <c r="I90" s="233"/>
      <c r="J90" s="233">
        <v>2</v>
      </c>
      <c r="K90" s="247">
        <v>5</v>
      </c>
      <c r="L90" s="233"/>
      <c r="M90" s="233">
        <v>15</v>
      </c>
      <c r="N90" s="233"/>
      <c r="O90" s="233">
        <v>25</v>
      </c>
      <c r="P90" s="233"/>
      <c r="Q90" s="233">
        <v>10</v>
      </c>
      <c r="R90" s="233">
        <v>35</v>
      </c>
      <c r="S90" s="233">
        <v>50</v>
      </c>
      <c r="T90" s="233">
        <v>40</v>
      </c>
      <c r="U90" s="233"/>
      <c r="V90" s="233">
        <v>17</v>
      </c>
      <c r="W90" s="233">
        <v>5</v>
      </c>
      <c r="X90" s="233"/>
      <c r="Y90" s="235"/>
      <c r="Z90" s="235"/>
      <c r="AA90" s="235"/>
      <c r="AB90" s="233"/>
      <c r="AC90" s="233"/>
      <c r="AD90" s="233"/>
      <c r="AE90" s="246">
        <f t="shared" si="27"/>
        <v>255</v>
      </c>
      <c r="AF90" s="235"/>
      <c r="AG90" s="236">
        <f t="shared" si="28"/>
        <v>255</v>
      </c>
      <c r="AH90" s="228"/>
    </row>
    <row r="91" spans="1:34" s="226" customFormat="1" ht="13.5" customHeight="1" x14ac:dyDescent="0.2">
      <c r="A91" s="226">
        <v>69</v>
      </c>
      <c r="B91" s="254">
        <v>70</v>
      </c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>
        <v>15</v>
      </c>
      <c r="N91" s="233"/>
      <c r="O91" s="233">
        <v>12</v>
      </c>
      <c r="P91" s="233"/>
      <c r="Q91" s="233"/>
      <c r="R91" s="233"/>
      <c r="S91" s="233"/>
      <c r="T91" s="233"/>
      <c r="U91" s="233"/>
      <c r="V91" s="233"/>
      <c r="W91" s="233"/>
      <c r="X91" s="233"/>
      <c r="Y91" s="235"/>
      <c r="Z91" s="235"/>
      <c r="AA91" s="235"/>
      <c r="AB91" s="233"/>
      <c r="AC91" s="233"/>
      <c r="AD91" s="233">
        <v>24</v>
      </c>
      <c r="AE91" s="246">
        <f t="shared" si="27"/>
        <v>51</v>
      </c>
      <c r="AF91" s="235"/>
      <c r="AG91" s="236">
        <f t="shared" si="28"/>
        <v>51</v>
      </c>
      <c r="AH91" s="228"/>
    </row>
    <row r="92" spans="1:34" s="226" customFormat="1" ht="13.5" customHeight="1" x14ac:dyDescent="0.2">
      <c r="A92" s="226">
        <v>70</v>
      </c>
      <c r="B92" s="254">
        <v>71</v>
      </c>
      <c r="C92" s="247">
        <v>250</v>
      </c>
      <c r="D92" s="233">
        <v>102</v>
      </c>
      <c r="E92" s="233"/>
      <c r="F92" s="233"/>
      <c r="G92" s="233"/>
      <c r="H92" s="245"/>
      <c r="I92" s="233">
        <v>196</v>
      </c>
      <c r="J92" s="233"/>
      <c r="K92" s="233"/>
      <c r="L92" s="245"/>
      <c r="M92" s="233">
        <v>15</v>
      </c>
      <c r="N92" s="233">
        <v>176</v>
      </c>
      <c r="O92" s="233">
        <v>105</v>
      </c>
      <c r="P92" s="233"/>
      <c r="Q92" s="233"/>
      <c r="R92" s="233"/>
      <c r="S92" s="233"/>
      <c r="T92" s="233"/>
      <c r="U92" s="233"/>
      <c r="V92" s="233"/>
      <c r="W92" s="233">
        <v>5</v>
      </c>
      <c r="X92" s="233"/>
      <c r="Y92" s="235"/>
      <c r="Z92" s="235"/>
      <c r="AA92" s="235"/>
      <c r="AB92" s="233"/>
      <c r="AC92" s="233"/>
      <c r="AD92" s="233"/>
      <c r="AE92" s="246">
        <f t="shared" si="27"/>
        <v>849</v>
      </c>
      <c r="AF92" s="235"/>
      <c r="AG92" s="236">
        <f t="shared" si="28"/>
        <v>849</v>
      </c>
      <c r="AH92" s="228"/>
    </row>
    <row r="93" spans="1:34" s="226" customFormat="1" ht="13.5" customHeight="1" x14ac:dyDescent="0.2">
      <c r="A93" s="226">
        <v>71</v>
      </c>
      <c r="B93" s="254">
        <v>72</v>
      </c>
      <c r="C93" s="233"/>
      <c r="D93" s="233"/>
      <c r="E93" s="233"/>
      <c r="F93" s="233"/>
      <c r="G93" s="233"/>
      <c r="H93" s="233"/>
      <c r="I93" s="233"/>
      <c r="J93" s="233"/>
      <c r="K93" s="233">
        <v>10</v>
      </c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5"/>
      <c r="Z93" s="235"/>
      <c r="AA93" s="235"/>
      <c r="AB93" s="233"/>
      <c r="AC93" s="233"/>
      <c r="AD93" s="233"/>
      <c r="AE93" s="246">
        <f t="shared" si="27"/>
        <v>10</v>
      </c>
      <c r="AF93" s="235"/>
      <c r="AG93" s="236">
        <f t="shared" si="28"/>
        <v>10</v>
      </c>
      <c r="AH93" s="228"/>
    </row>
    <row r="94" spans="1:34" s="226" customFormat="1" ht="13.5" customHeight="1" x14ac:dyDescent="0.2">
      <c r="A94" s="226">
        <v>72</v>
      </c>
      <c r="B94" s="254">
        <v>73</v>
      </c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5"/>
      <c r="Z94" s="235"/>
      <c r="AA94" s="235"/>
      <c r="AB94" s="233"/>
      <c r="AC94" s="233"/>
      <c r="AD94" s="233"/>
      <c r="AE94" s="246">
        <f t="shared" si="27"/>
        <v>0</v>
      </c>
      <c r="AF94" s="235"/>
      <c r="AG94" s="236">
        <f t="shared" si="28"/>
        <v>0</v>
      </c>
      <c r="AH94" s="228"/>
    </row>
    <row r="95" spans="1:34" s="239" customFormat="1" ht="13.5" customHeight="1" x14ac:dyDescent="0.2">
      <c r="A95" s="239">
        <v>73</v>
      </c>
      <c r="B95" s="254">
        <v>74</v>
      </c>
      <c r="C95" s="233">
        <v>9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>
        <v>4</v>
      </c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5"/>
      <c r="Z95" s="235"/>
      <c r="AA95" s="235"/>
      <c r="AB95" s="233"/>
      <c r="AC95" s="233"/>
      <c r="AD95" s="233"/>
      <c r="AE95" s="246">
        <f t="shared" si="27"/>
        <v>13</v>
      </c>
      <c r="AF95" s="235"/>
      <c r="AG95" s="236">
        <f t="shared" si="28"/>
        <v>13</v>
      </c>
      <c r="AH95" s="241"/>
    </row>
    <row r="96" spans="1:34" s="226" customFormat="1" ht="13.5" customHeight="1" x14ac:dyDescent="0.2">
      <c r="B96" s="227">
        <v>75</v>
      </c>
      <c r="C96" s="233"/>
      <c r="D96" s="233"/>
      <c r="E96" s="233"/>
      <c r="F96" s="233"/>
      <c r="G96" s="233"/>
      <c r="H96" s="233"/>
      <c r="I96" s="233"/>
      <c r="J96" s="233"/>
      <c r="K96" s="233">
        <v>15</v>
      </c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5"/>
      <c r="Z96" s="235"/>
      <c r="AA96" s="235"/>
      <c r="AB96" s="233"/>
      <c r="AC96" s="233"/>
      <c r="AD96" s="233"/>
      <c r="AE96" s="246">
        <f t="shared" si="27"/>
        <v>15</v>
      </c>
      <c r="AF96" s="235"/>
      <c r="AG96" s="236">
        <f t="shared" si="28"/>
        <v>15</v>
      </c>
      <c r="AH96" s="228"/>
    </row>
    <row r="97" spans="1:34" s="226" customFormat="1" ht="13.5" customHeight="1" x14ac:dyDescent="0.2">
      <c r="B97" s="227">
        <v>76</v>
      </c>
      <c r="C97" s="233">
        <v>30</v>
      </c>
      <c r="D97" s="233">
        <v>37</v>
      </c>
      <c r="E97" s="233"/>
      <c r="F97" s="233"/>
      <c r="G97" s="233"/>
      <c r="H97" s="233"/>
      <c r="I97" s="233">
        <v>60</v>
      </c>
      <c r="J97" s="233">
        <v>6</v>
      </c>
      <c r="K97" s="233"/>
      <c r="L97" s="233"/>
      <c r="M97" s="233"/>
      <c r="N97" s="233">
        <v>20</v>
      </c>
      <c r="O97" s="233">
        <v>18</v>
      </c>
      <c r="P97" s="233"/>
      <c r="Q97" s="233"/>
      <c r="R97" s="233"/>
      <c r="S97" s="233"/>
      <c r="T97" s="233"/>
      <c r="U97" s="233"/>
      <c r="V97" s="233">
        <v>3</v>
      </c>
      <c r="W97" s="233"/>
      <c r="X97" s="233"/>
      <c r="Y97" s="235"/>
      <c r="Z97" s="235"/>
      <c r="AA97" s="235"/>
      <c r="AB97" s="233"/>
      <c r="AC97" s="233"/>
      <c r="AD97" s="233"/>
      <c r="AE97" s="246">
        <f t="shared" si="27"/>
        <v>174</v>
      </c>
      <c r="AF97" s="235"/>
      <c r="AG97" s="236">
        <f t="shared" si="28"/>
        <v>174</v>
      </c>
      <c r="AH97" s="228"/>
    </row>
    <row r="98" spans="1:34" s="229" customFormat="1" ht="25.5" customHeight="1" x14ac:dyDescent="0.2">
      <c r="B98" s="230" t="s">
        <v>562</v>
      </c>
      <c r="C98" s="255">
        <v>96</v>
      </c>
      <c r="D98" s="255">
        <v>0</v>
      </c>
      <c r="E98" s="255">
        <v>0</v>
      </c>
      <c r="F98" s="255">
        <v>0</v>
      </c>
      <c r="G98" s="255">
        <v>0</v>
      </c>
      <c r="H98" s="255">
        <v>0</v>
      </c>
      <c r="I98" s="255">
        <v>0</v>
      </c>
      <c r="J98" s="255">
        <v>0</v>
      </c>
      <c r="K98" s="255">
        <v>0</v>
      </c>
      <c r="L98" s="255">
        <v>0</v>
      </c>
      <c r="M98" s="255">
        <v>0</v>
      </c>
      <c r="N98" s="255">
        <v>0</v>
      </c>
      <c r="O98" s="255">
        <v>0</v>
      </c>
      <c r="P98" s="255">
        <v>0</v>
      </c>
      <c r="Q98" s="255">
        <v>0</v>
      </c>
      <c r="R98" s="255">
        <v>0</v>
      </c>
      <c r="S98" s="255">
        <v>0</v>
      </c>
      <c r="T98" s="255">
        <v>0</v>
      </c>
      <c r="U98" s="255">
        <v>0</v>
      </c>
      <c r="V98" s="255">
        <v>0</v>
      </c>
      <c r="W98" s="255">
        <v>0</v>
      </c>
      <c r="X98" s="255">
        <v>0</v>
      </c>
      <c r="Y98" s="256">
        <v>0</v>
      </c>
      <c r="Z98" s="256">
        <v>0</v>
      </c>
      <c r="AA98" s="256">
        <v>0</v>
      </c>
      <c r="AB98" s="255">
        <v>0</v>
      </c>
      <c r="AC98" s="255">
        <v>0</v>
      </c>
      <c r="AD98" s="255">
        <v>0</v>
      </c>
      <c r="AE98" s="231">
        <f>AE99</f>
        <v>96</v>
      </c>
      <c r="AF98" s="256"/>
      <c r="AG98" s="255">
        <f>AG99</f>
        <v>96</v>
      </c>
      <c r="AH98" s="232"/>
    </row>
    <row r="99" spans="1:34" s="226" customFormat="1" ht="13.5" customHeight="1" x14ac:dyDescent="0.2">
      <c r="B99" s="253">
        <v>77</v>
      </c>
      <c r="C99" s="233">
        <v>96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5"/>
      <c r="Z99" s="235"/>
      <c r="AA99" s="235"/>
      <c r="AB99" s="233"/>
      <c r="AC99" s="233"/>
      <c r="AD99" s="233"/>
      <c r="AE99" s="246">
        <f t="shared" si="27"/>
        <v>96</v>
      </c>
      <c r="AF99" s="235"/>
      <c r="AG99" s="236">
        <f t="shared" si="28"/>
        <v>96</v>
      </c>
      <c r="AH99" s="228"/>
    </row>
    <row r="100" spans="1:34" s="226" customFormat="1" ht="22.5" customHeight="1" x14ac:dyDescent="0.2">
      <c r="A100" s="226">
        <v>0</v>
      </c>
      <c r="B100" s="230" t="s">
        <v>635</v>
      </c>
      <c r="C100" s="231">
        <v>188</v>
      </c>
      <c r="D100" s="231">
        <v>0</v>
      </c>
      <c r="E100" s="231">
        <v>0</v>
      </c>
      <c r="F100" s="231">
        <v>0</v>
      </c>
      <c r="G100" s="231">
        <v>0</v>
      </c>
      <c r="H100" s="231">
        <v>0</v>
      </c>
      <c r="I100" s="231">
        <v>0</v>
      </c>
      <c r="J100" s="231">
        <v>136</v>
      </c>
      <c r="K100" s="231">
        <v>40</v>
      </c>
      <c r="L100" s="231">
        <v>60</v>
      </c>
      <c r="M100" s="231">
        <v>0</v>
      </c>
      <c r="N100" s="231">
        <v>0</v>
      </c>
      <c r="O100" s="231">
        <v>15</v>
      </c>
      <c r="P100" s="231">
        <v>0</v>
      </c>
      <c r="Q100" s="231">
        <v>0</v>
      </c>
      <c r="R100" s="231">
        <v>0</v>
      </c>
      <c r="S100" s="231">
        <v>0</v>
      </c>
      <c r="T100" s="231">
        <v>0</v>
      </c>
      <c r="U100" s="231">
        <v>0</v>
      </c>
      <c r="V100" s="231">
        <v>0</v>
      </c>
      <c r="W100" s="231">
        <v>0</v>
      </c>
      <c r="X100" s="231">
        <v>0</v>
      </c>
      <c r="Y100" s="231">
        <v>0</v>
      </c>
      <c r="Z100" s="231">
        <v>0</v>
      </c>
      <c r="AA100" s="231">
        <v>0</v>
      </c>
      <c r="AB100" s="231">
        <v>46</v>
      </c>
      <c r="AC100" s="231">
        <v>0</v>
      </c>
      <c r="AD100" s="231">
        <v>22</v>
      </c>
      <c r="AE100" s="231">
        <f t="shared" ref="AE100:AG100" si="29">SUM(AE101:AE103)</f>
        <v>507</v>
      </c>
      <c r="AF100" s="231">
        <f t="shared" si="29"/>
        <v>0</v>
      </c>
      <c r="AG100" s="231">
        <f t="shared" si="29"/>
        <v>507</v>
      </c>
      <c r="AH100" s="228"/>
    </row>
    <row r="101" spans="1:34" s="226" customFormat="1" ht="13.5" customHeight="1" x14ac:dyDescent="0.2">
      <c r="A101" s="226">
        <v>74</v>
      </c>
      <c r="B101" s="227">
        <v>78</v>
      </c>
      <c r="C101" s="247">
        <v>158</v>
      </c>
      <c r="D101" s="233"/>
      <c r="E101" s="233"/>
      <c r="F101" s="233"/>
      <c r="G101" s="233"/>
      <c r="H101" s="233"/>
      <c r="I101" s="233"/>
      <c r="J101" s="233">
        <v>136</v>
      </c>
      <c r="K101" s="233">
        <v>40</v>
      </c>
      <c r="L101" s="233">
        <v>40</v>
      </c>
      <c r="M101" s="233"/>
      <c r="N101" s="233"/>
      <c r="O101" s="233">
        <v>15</v>
      </c>
      <c r="P101" s="233"/>
      <c r="Q101" s="233"/>
      <c r="R101" s="233"/>
      <c r="S101" s="233"/>
      <c r="T101" s="233"/>
      <c r="U101" s="233"/>
      <c r="V101" s="233"/>
      <c r="W101" s="233"/>
      <c r="X101" s="233"/>
      <c r="Y101" s="235"/>
      <c r="Z101" s="235"/>
      <c r="AA101" s="235"/>
      <c r="AB101" s="233">
        <v>46</v>
      </c>
      <c r="AC101" s="233"/>
      <c r="AD101" s="233">
        <v>22</v>
      </c>
      <c r="AE101" s="246">
        <f>C101+D101+E101+F101+G101+H101+I101+J101+K101+L101+M101+N101+O101+P101+Q101+R101+S101+T101+U101+V101+W101+X101+Y101+Z101+AA101+AB101+AC101+AD101</f>
        <v>457</v>
      </c>
      <c r="AF101" s="235"/>
      <c r="AG101" s="236">
        <f>AE101+AF101</f>
        <v>457</v>
      </c>
      <c r="AH101" s="228"/>
    </row>
    <row r="102" spans="1:34" s="226" customFormat="1" ht="13.5" customHeight="1" x14ac:dyDescent="0.2">
      <c r="A102" s="226">
        <v>75</v>
      </c>
      <c r="B102" s="227">
        <v>79</v>
      </c>
      <c r="C102" s="247">
        <v>30</v>
      </c>
      <c r="D102" s="233"/>
      <c r="E102" s="233"/>
      <c r="F102" s="233"/>
      <c r="G102" s="233"/>
      <c r="H102" s="233"/>
      <c r="I102" s="233"/>
      <c r="J102" s="233"/>
      <c r="K102" s="233"/>
      <c r="L102" s="233">
        <v>20</v>
      </c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5"/>
      <c r="Z102" s="235"/>
      <c r="AA102" s="235"/>
      <c r="AB102" s="233"/>
      <c r="AC102" s="233"/>
      <c r="AD102" s="233"/>
      <c r="AE102" s="246">
        <f>C102+D102+E102+F102+G102+H102+I102+J102+K102+L102+M102+N102+O102+P102+Q102+R102+S102+T102+U102+V102+W102+X102+Y102+Z102+AA102+AB102+AC102+AD102</f>
        <v>50</v>
      </c>
      <c r="AF102" s="235"/>
      <c r="AG102" s="236">
        <f>AE102+AF102</f>
        <v>50</v>
      </c>
      <c r="AH102" s="228"/>
    </row>
    <row r="103" spans="1:34" s="226" customFormat="1" ht="13.5" customHeight="1" x14ac:dyDescent="0.2">
      <c r="A103" s="226">
        <v>76</v>
      </c>
      <c r="B103" s="227">
        <v>80</v>
      </c>
      <c r="C103" s="247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5"/>
      <c r="Z103" s="235"/>
      <c r="AA103" s="235"/>
      <c r="AB103" s="233"/>
      <c r="AC103" s="233"/>
      <c r="AD103" s="233"/>
      <c r="AE103" s="246">
        <f>C103+D103+E103+F103+G103+H103+I103+J103+K103+L103+M103+N103+O103+P103+Q103+R103+S103+T103+U103+V103+W103+X103+Y103+Z103+AA103+AB103+AC103+AD103</f>
        <v>0</v>
      </c>
      <c r="AF103" s="235"/>
      <c r="AG103" s="236">
        <f>AE103+AF103</f>
        <v>0</v>
      </c>
      <c r="AH103" s="228"/>
    </row>
    <row r="104" spans="1:34" s="239" customFormat="1" ht="22.5" customHeight="1" x14ac:dyDescent="0.2">
      <c r="A104" s="239">
        <v>0</v>
      </c>
      <c r="B104" s="230" t="s">
        <v>636</v>
      </c>
      <c r="C104" s="255">
        <v>385</v>
      </c>
      <c r="D104" s="255">
        <v>20</v>
      </c>
      <c r="E104" s="255">
        <v>0</v>
      </c>
      <c r="F104" s="255">
        <v>0</v>
      </c>
      <c r="G104" s="255">
        <v>0</v>
      </c>
      <c r="H104" s="255">
        <v>0</v>
      </c>
      <c r="I104" s="255">
        <v>0</v>
      </c>
      <c r="J104" s="255">
        <v>17</v>
      </c>
      <c r="K104" s="255">
        <v>6</v>
      </c>
      <c r="L104" s="255">
        <v>0</v>
      </c>
      <c r="M104" s="255">
        <v>0</v>
      </c>
      <c r="N104" s="255">
        <v>0</v>
      </c>
      <c r="O104" s="255">
        <v>83</v>
      </c>
      <c r="P104" s="255">
        <v>0</v>
      </c>
      <c r="Q104" s="255">
        <v>0</v>
      </c>
      <c r="R104" s="255">
        <v>0</v>
      </c>
      <c r="S104" s="255">
        <v>0</v>
      </c>
      <c r="T104" s="255">
        <v>0</v>
      </c>
      <c r="U104" s="255">
        <v>0</v>
      </c>
      <c r="V104" s="255">
        <v>0</v>
      </c>
      <c r="W104" s="255">
        <v>0</v>
      </c>
      <c r="X104" s="255">
        <v>0</v>
      </c>
      <c r="Y104" s="256">
        <v>0</v>
      </c>
      <c r="Z104" s="256">
        <v>0</v>
      </c>
      <c r="AA104" s="256">
        <v>0</v>
      </c>
      <c r="AB104" s="255">
        <v>25</v>
      </c>
      <c r="AC104" s="255">
        <v>0</v>
      </c>
      <c r="AD104" s="255">
        <v>0</v>
      </c>
      <c r="AE104" s="231">
        <f t="shared" ref="AE104:AG104" si="30">SUM(AE105:AE108)</f>
        <v>536</v>
      </c>
      <c r="AF104" s="256">
        <f t="shared" si="30"/>
        <v>0</v>
      </c>
      <c r="AG104" s="255">
        <f t="shared" si="30"/>
        <v>536</v>
      </c>
      <c r="AH104" s="241"/>
    </row>
    <row r="105" spans="1:34" s="226" customFormat="1" ht="13.5" customHeight="1" x14ac:dyDescent="0.2">
      <c r="A105" s="226">
        <v>77</v>
      </c>
      <c r="B105" s="227">
        <v>81</v>
      </c>
      <c r="C105" s="247">
        <v>173</v>
      </c>
      <c r="D105" s="233">
        <v>20</v>
      </c>
      <c r="E105" s="233"/>
      <c r="F105" s="233"/>
      <c r="G105" s="233"/>
      <c r="H105" s="233"/>
      <c r="I105" s="233"/>
      <c r="J105" s="233">
        <v>15</v>
      </c>
      <c r="K105" s="233">
        <v>6</v>
      </c>
      <c r="L105" s="233"/>
      <c r="M105" s="233"/>
      <c r="N105" s="233"/>
      <c r="O105" s="233">
        <v>80</v>
      </c>
      <c r="P105" s="233"/>
      <c r="Q105" s="233"/>
      <c r="R105" s="233"/>
      <c r="S105" s="233"/>
      <c r="T105" s="233"/>
      <c r="U105" s="233"/>
      <c r="V105" s="233"/>
      <c r="W105" s="233"/>
      <c r="X105" s="233"/>
      <c r="Y105" s="235"/>
      <c r="Z105" s="235"/>
      <c r="AA105" s="235"/>
      <c r="AB105" s="233">
        <v>25</v>
      </c>
      <c r="AC105" s="233"/>
      <c r="AD105" s="233"/>
      <c r="AE105" s="246">
        <f>C105+D105+E105+F105+G105+H105+I105+J105+K105+L105+M105+N105+O105+P105+Q105+R105+S105+T105+U105+V105+W105+X105+Y105+Z105+AA105+AB105+AC105+AD105</f>
        <v>319</v>
      </c>
      <c r="AF105" s="235"/>
      <c r="AG105" s="236">
        <f>AE105+AF105</f>
        <v>319</v>
      </c>
      <c r="AH105" s="228"/>
    </row>
    <row r="106" spans="1:34" s="239" customFormat="1" ht="13.5" customHeight="1" x14ac:dyDescent="0.2">
      <c r="A106" s="239">
        <v>78</v>
      </c>
      <c r="B106" s="227">
        <v>82</v>
      </c>
      <c r="C106" s="247">
        <v>42</v>
      </c>
      <c r="D106" s="233"/>
      <c r="E106" s="233"/>
      <c r="F106" s="233"/>
      <c r="G106" s="233"/>
      <c r="H106" s="233"/>
      <c r="I106" s="233"/>
      <c r="J106" s="233">
        <v>2</v>
      </c>
      <c r="K106" s="233"/>
      <c r="L106" s="233"/>
      <c r="M106" s="233"/>
      <c r="N106" s="233"/>
      <c r="O106" s="233">
        <v>3</v>
      </c>
      <c r="P106" s="233"/>
      <c r="Q106" s="233"/>
      <c r="R106" s="233"/>
      <c r="S106" s="233"/>
      <c r="T106" s="233"/>
      <c r="U106" s="233"/>
      <c r="V106" s="233"/>
      <c r="W106" s="233"/>
      <c r="X106" s="233"/>
      <c r="Y106" s="235"/>
      <c r="Z106" s="235"/>
      <c r="AA106" s="235"/>
      <c r="AB106" s="233"/>
      <c r="AC106" s="233"/>
      <c r="AD106" s="233"/>
      <c r="AE106" s="246">
        <f>C106+D106+E106+F106+G106+H106+I106+J106+K106+L106+M106+N106+O106+P106+Q106+R106+S106+T106+U106+V106+W106+X106+Y106+Z106+AA106+AB106+AC106+AD106</f>
        <v>47</v>
      </c>
      <c r="AF106" s="235"/>
      <c r="AG106" s="236">
        <f>AE106+AF106</f>
        <v>47</v>
      </c>
      <c r="AH106" s="241"/>
    </row>
    <row r="107" spans="1:34" s="226" customFormat="1" ht="13.5" customHeight="1" x14ac:dyDescent="0.2">
      <c r="B107" s="227">
        <v>83</v>
      </c>
      <c r="C107" s="247">
        <v>170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5"/>
      <c r="Z107" s="235"/>
      <c r="AA107" s="235"/>
      <c r="AB107" s="233"/>
      <c r="AC107" s="233"/>
      <c r="AD107" s="233"/>
      <c r="AE107" s="246">
        <f>C107+D107+E107+F107+G107+H107+I107+J107+K107+L107+M107+N107+O107+P107+Q107+R107+S107+T107+U107+V107+W107+X107+Y107+Z107+AA107+AB107+AC107+AD107</f>
        <v>170</v>
      </c>
      <c r="AF107" s="235"/>
      <c r="AG107" s="236">
        <f>AE107+AF107</f>
        <v>170</v>
      </c>
      <c r="AH107" s="228"/>
    </row>
    <row r="108" spans="1:34" s="226" customFormat="1" ht="13.5" customHeight="1" x14ac:dyDescent="0.2">
      <c r="B108" s="227">
        <v>84</v>
      </c>
      <c r="C108" s="247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5"/>
      <c r="Z108" s="235"/>
      <c r="AA108" s="235"/>
      <c r="AB108" s="233"/>
      <c r="AC108" s="233"/>
      <c r="AD108" s="233"/>
      <c r="AE108" s="246">
        <f>C108+D108+E108+F108+G108+H108+I108+J108+K108+L108+M108+N108+O108+P108+Q108+R108+S108+T108+U108+V108+W108+X108+Y108+Z108+AA108+AB108+AC108+AD108</f>
        <v>0</v>
      </c>
      <c r="AF108" s="235"/>
      <c r="AG108" s="236">
        <f>AE108+AF108</f>
        <v>0</v>
      </c>
      <c r="AH108" s="228"/>
    </row>
    <row r="109" spans="1:34" s="239" customFormat="1" ht="22.5" customHeight="1" x14ac:dyDescent="0.2">
      <c r="A109" s="239">
        <v>0</v>
      </c>
      <c r="B109" s="230" t="s">
        <v>637</v>
      </c>
      <c r="C109" s="231">
        <v>0</v>
      </c>
      <c r="D109" s="231">
        <v>0</v>
      </c>
      <c r="E109" s="231">
        <v>0</v>
      </c>
      <c r="F109" s="231">
        <v>0</v>
      </c>
      <c r="G109" s="231">
        <v>0</v>
      </c>
      <c r="H109" s="231">
        <v>0</v>
      </c>
      <c r="I109" s="231">
        <v>0</v>
      </c>
      <c r="J109" s="231">
        <v>65</v>
      </c>
      <c r="K109" s="231">
        <v>0</v>
      </c>
      <c r="L109" s="231">
        <v>0</v>
      </c>
      <c r="M109" s="231">
        <v>0</v>
      </c>
      <c r="N109" s="231">
        <v>0</v>
      </c>
      <c r="O109" s="231">
        <v>60</v>
      </c>
      <c r="P109" s="231">
        <v>0</v>
      </c>
      <c r="Q109" s="231">
        <v>0</v>
      </c>
      <c r="R109" s="231">
        <v>0</v>
      </c>
      <c r="S109" s="231">
        <v>20</v>
      </c>
      <c r="T109" s="231">
        <v>0</v>
      </c>
      <c r="U109" s="231">
        <v>0</v>
      </c>
      <c r="V109" s="231">
        <v>0</v>
      </c>
      <c r="W109" s="231">
        <v>0</v>
      </c>
      <c r="X109" s="231">
        <v>0</v>
      </c>
      <c r="Y109" s="231">
        <v>0</v>
      </c>
      <c r="Z109" s="231">
        <v>0</v>
      </c>
      <c r="AA109" s="231">
        <v>0</v>
      </c>
      <c r="AB109" s="231">
        <v>0</v>
      </c>
      <c r="AC109" s="231">
        <v>0</v>
      </c>
      <c r="AD109" s="231">
        <v>0</v>
      </c>
      <c r="AE109" s="231">
        <f t="shared" ref="AE109:AG109" si="31">AE110</f>
        <v>145</v>
      </c>
      <c r="AF109" s="231">
        <f t="shared" si="31"/>
        <v>0</v>
      </c>
      <c r="AG109" s="231">
        <f t="shared" si="31"/>
        <v>145</v>
      </c>
      <c r="AH109" s="241"/>
    </row>
    <row r="110" spans="1:34" ht="13.5" customHeight="1" x14ac:dyDescent="0.2">
      <c r="A110" s="214">
        <v>79</v>
      </c>
      <c r="B110" s="227">
        <v>85</v>
      </c>
      <c r="C110" s="233"/>
      <c r="D110" s="233"/>
      <c r="E110" s="233"/>
      <c r="F110" s="233"/>
      <c r="G110" s="233"/>
      <c r="H110" s="233"/>
      <c r="I110" s="233"/>
      <c r="J110" s="233">
        <v>65</v>
      </c>
      <c r="K110" s="233"/>
      <c r="L110" s="233"/>
      <c r="M110" s="233"/>
      <c r="N110" s="233"/>
      <c r="O110" s="233">
        <v>60</v>
      </c>
      <c r="P110" s="233"/>
      <c r="Q110" s="233"/>
      <c r="R110" s="233"/>
      <c r="S110" s="233">
        <v>20</v>
      </c>
      <c r="T110" s="233"/>
      <c r="U110" s="233"/>
      <c r="V110" s="233"/>
      <c r="W110" s="233"/>
      <c r="X110" s="233"/>
      <c r="Y110" s="235"/>
      <c r="Z110" s="235"/>
      <c r="AA110" s="235"/>
      <c r="AB110" s="233"/>
      <c r="AC110" s="233"/>
      <c r="AD110" s="233"/>
      <c r="AE110" s="246">
        <f>C110+D110+E110+F110+G110+H110+I110+J110+K110+L110+M110+N110+O110+P110+Q110+R110+S110+T110+U110+V110+W110+X110+Y110+Z110+AA110+AB110+AC110+AD110</f>
        <v>145</v>
      </c>
      <c r="AF110" s="235"/>
      <c r="AG110" s="236">
        <f>AE110+AF110</f>
        <v>145</v>
      </c>
    </row>
    <row r="111" spans="1:34" ht="22.5" customHeight="1" x14ac:dyDescent="0.2">
      <c r="A111" s="214">
        <v>0</v>
      </c>
      <c r="B111" s="230" t="s">
        <v>638</v>
      </c>
      <c r="C111" s="231">
        <v>20</v>
      </c>
      <c r="D111" s="231">
        <v>0</v>
      </c>
      <c r="E111" s="231">
        <v>0</v>
      </c>
      <c r="F111" s="231">
        <v>0</v>
      </c>
      <c r="G111" s="231">
        <v>0</v>
      </c>
      <c r="H111" s="231">
        <v>0</v>
      </c>
      <c r="I111" s="231">
        <v>0</v>
      </c>
      <c r="J111" s="231">
        <v>92</v>
      </c>
      <c r="K111" s="231">
        <v>0</v>
      </c>
      <c r="L111" s="231">
        <v>0</v>
      </c>
      <c r="M111" s="231">
        <v>0</v>
      </c>
      <c r="N111" s="231">
        <v>0</v>
      </c>
      <c r="O111" s="231">
        <v>24</v>
      </c>
      <c r="P111" s="231">
        <v>0</v>
      </c>
      <c r="Q111" s="231">
        <v>0</v>
      </c>
      <c r="R111" s="231">
        <v>0</v>
      </c>
      <c r="S111" s="231">
        <v>0</v>
      </c>
      <c r="T111" s="231">
        <v>0</v>
      </c>
      <c r="U111" s="231">
        <v>0</v>
      </c>
      <c r="V111" s="231">
        <v>0</v>
      </c>
      <c r="W111" s="231">
        <v>0</v>
      </c>
      <c r="X111" s="231">
        <v>0</v>
      </c>
      <c r="Y111" s="231">
        <v>0</v>
      </c>
      <c r="Z111" s="231">
        <v>0</v>
      </c>
      <c r="AA111" s="231">
        <v>0</v>
      </c>
      <c r="AB111" s="231">
        <v>0</v>
      </c>
      <c r="AC111" s="231">
        <v>0</v>
      </c>
      <c r="AD111" s="231">
        <v>0</v>
      </c>
      <c r="AE111" s="231">
        <f>SUM(AE112:AE114)</f>
        <v>136</v>
      </c>
      <c r="AF111" s="231">
        <f t="shared" ref="AF111:AG111" si="32">SUM(AF112:AF114)</f>
        <v>0</v>
      </c>
      <c r="AG111" s="231">
        <f t="shared" si="32"/>
        <v>136</v>
      </c>
    </row>
    <row r="112" spans="1:34" ht="13.5" customHeight="1" x14ac:dyDescent="0.2">
      <c r="A112" s="214">
        <v>80</v>
      </c>
      <c r="B112" s="227">
        <v>86</v>
      </c>
      <c r="C112" s="233">
        <v>20</v>
      </c>
      <c r="D112" s="233"/>
      <c r="E112" s="233"/>
      <c r="F112" s="233"/>
      <c r="G112" s="233"/>
      <c r="H112" s="233"/>
      <c r="I112" s="233"/>
      <c r="J112" s="233">
        <v>92</v>
      </c>
      <c r="K112" s="233"/>
      <c r="L112" s="233"/>
      <c r="M112" s="233"/>
      <c r="N112" s="233"/>
      <c r="O112" s="233">
        <v>24</v>
      </c>
      <c r="P112" s="233"/>
      <c r="Q112" s="233"/>
      <c r="R112" s="233"/>
      <c r="S112" s="233"/>
      <c r="T112" s="233"/>
      <c r="U112" s="233"/>
      <c r="V112" s="233"/>
      <c r="W112" s="233"/>
      <c r="X112" s="233"/>
      <c r="Y112" s="235"/>
      <c r="Z112" s="235"/>
      <c r="AA112" s="235"/>
      <c r="AB112" s="233"/>
      <c r="AC112" s="233"/>
      <c r="AD112" s="233"/>
      <c r="AE112" s="246">
        <f>C112+D112+E112+F112+G112+H112+I112+J112+K112+L112+M112+N112+O112+P112+Q112+R112+S112+T112+U112+V112+W112+X112+Y112+Z112+AA112+AB112+AC112+AD112</f>
        <v>136</v>
      </c>
      <c r="AF112" s="235"/>
      <c r="AG112" s="236">
        <f>AE112+AF112</f>
        <v>136</v>
      </c>
    </row>
    <row r="113" spans="1:36" ht="12.75" customHeight="1" x14ac:dyDescent="0.2">
      <c r="B113" s="227">
        <v>87</v>
      </c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5"/>
      <c r="Z113" s="235"/>
      <c r="AA113" s="235"/>
      <c r="AB113" s="233"/>
      <c r="AC113" s="233"/>
      <c r="AD113" s="233"/>
      <c r="AE113" s="246">
        <f>C113+D113+E113+F113+G113+H113+I113+J113+K113+L113+M113+N113+O113+P113+Q113+R113+S113+T113+U113+V113+W113+X113+Y113+Z113+AA113+AB113+AC113+AD113</f>
        <v>0</v>
      </c>
      <c r="AF113" s="235"/>
      <c r="AG113" s="236">
        <f>AE113+AF113</f>
        <v>0</v>
      </c>
    </row>
    <row r="114" spans="1:36" s="215" customFormat="1" ht="13.5" customHeight="1" x14ac:dyDescent="0.2">
      <c r="A114" s="214">
        <v>81</v>
      </c>
      <c r="B114" s="227">
        <v>88</v>
      </c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5"/>
      <c r="Z114" s="235"/>
      <c r="AA114" s="235"/>
      <c r="AB114" s="233"/>
      <c r="AC114" s="233"/>
      <c r="AD114" s="233"/>
      <c r="AE114" s="246">
        <f>C114+D114+E114+F114+G114+H114+I114+J114+K114+L114+M114+N114+O114+P114+Q114+R114+S114+T114+U114+V114+W114+X114+Y114+Z114+AA114+AB114+AC114+AD114</f>
        <v>0</v>
      </c>
      <c r="AF114" s="235"/>
      <c r="AG114" s="236">
        <f>AE114+AF114</f>
        <v>0</v>
      </c>
      <c r="AI114" s="214"/>
      <c r="AJ114" s="214"/>
    </row>
    <row r="115" spans="1:36" s="215" customFormat="1" ht="21.75" customHeight="1" x14ac:dyDescent="0.2">
      <c r="A115" s="214"/>
      <c r="B115" s="257" t="s">
        <v>44</v>
      </c>
      <c r="C115" s="258">
        <f>C6+C11+C13+C16+C18+C20+C23+C31+C34+C43+C47+C64+C66+C85+C88+C98+C100+C104+C109+C111+C55</f>
        <v>3006</v>
      </c>
      <c r="D115" s="258">
        <f t="shared" ref="D115:AG115" si="33">D6+D11+D13+D16+D18+D20+D23+D31+D34+D43+D47+D64+D66+D85+D88+D98+D100+D104+D109+D111+D55</f>
        <v>809</v>
      </c>
      <c r="E115" s="258">
        <f t="shared" si="33"/>
        <v>905</v>
      </c>
      <c r="F115" s="258">
        <f t="shared" si="33"/>
        <v>3632</v>
      </c>
      <c r="G115" s="258">
        <f t="shared" si="33"/>
        <v>1971</v>
      </c>
      <c r="H115" s="258">
        <f t="shared" si="33"/>
        <v>52</v>
      </c>
      <c r="I115" s="258">
        <f t="shared" si="33"/>
        <v>300</v>
      </c>
      <c r="J115" s="258">
        <f t="shared" si="33"/>
        <v>1266</v>
      </c>
      <c r="K115" s="258">
        <f t="shared" si="33"/>
        <v>440</v>
      </c>
      <c r="L115" s="258">
        <f t="shared" si="33"/>
        <v>1409</v>
      </c>
      <c r="M115" s="258">
        <f t="shared" si="33"/>
        <v>405</v>
      </c>
      <c r="N115" s="258">
        <f t="shared" si="33"/>
        <v>605</v>
      </c>
      <c r="O115" s="258">
        <f>O6+O11+O13+O16+O18+O20+O23+O31+O34+O43+O47+O64+O66+O85+O88+O98+O100+O104+O109+O111+O55</f>
        <v>840</v>
      </c>
      <c r="P115" s="258">
        <f t="shared" si="33"/>
        <v>100</v>
      </c>
      <c r="Q115" s="258">
        <f t="shared" si="33"/>
        <v>46</v>
      </c>
      <c r="R115" s="258">
        <f t="shared" si="33"/>
        <v>152</v>
      </c>
      <c r="S115" s="258">
        <f t="shared" si="33"/>
        <v>819</v>
      </c>
      <c r="T115" s="258">
        <f t="shared" si="33"/>
        <v>124</v>
      </c>
      <c r="U115" s="258">
        <f t="shared" si="33"/>
        <v>4</v>
      </c>
      <c r="V115" s="258">
        <f t="shared" si="33"/>
        <v>36</v>
      </c>
      <c r="W115" s="258">
        <f t="shared" si="33"/>
        <v>10</v>
      </c>
      <c r="X115" s="258">
        <f t="shared" si="33"/>
        <v>97</v>
      </c>
      <c r="Y115" s="258">
        <f t="shared" si="33"/>
        <v>130</v>
      </c>
      <c r="Z115" s="258">
        <f t="shared" si="33"/>
        <v>100</v>
      </c>
      <c r="AA115" s="258">
        <f t="shared" si="33"/>
        <v>0</v>
      </c>
      <c r="AB115" s="258">
        <f t="shared" si="33"/>
        <v>275</v>
      </c>
      <c r="AC115" s="258">
        <f t="shared" si="33"/>
        <v>114</v>
      </c>
      <c r="AD115" s="258">
        <f>AD6+AD11+AD13+AD16+AD18+AD20+AD23+AD31+AD34+AD43+AD47+AD64+AD66+AD85+AD88+AD98+AD100+AD104+AD109+AD111+AD55</f>
        <v>62</v>
      </c>
      <c r="AE115" s="258">
        <f t="shared" si="33"/>
        <v>17709</v>
      </c>
      <c r="AF115" s="258">
        <f t="shared" si="33"/>
        <v>0</v>
      </c>
      <c r="AG115" s="258">
        <f t="shared" si="33"/>
        <v>17709</v>
      </c>
      <c r="AI115" s="214"/>
      <c r="AJ115" s="214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N11" activePane="bottomRight" state="frozen"/>
      <selection pane="topRight" activeCell="D1" sqref="D1"/>
      <selection pane="bottomLeft" activeCell="A9" sqref="A9"/>
      <selection pane="bottomRight" activeCell="AC6" sqref="AC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18" t="s">
        <v>547</v>
      </c>
      <c r="B2" s="1118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1118"/>
      <c r="P2" s="1118"/>
      <c r="Q2" s="1118"/>
      <c r="R2" s="1118"/>
      <c r="S2" s="1118"/>
      <c r="T2" s="1118"/>
      <c r="U2" s="1118"/>
      <c r="V2" s="1118"/>
      <c r="W2" s="1118"/>
      <c r="X2" s="1118"/>
      <c r="Y2" s="1118"/>
      <c r="Z2" s="1118"/>
    </row>
    <row r="3" spans="1:26" x14ac:dyDescent="0.25">
      <c r="C3" s="6"/>
      <c r="E3" s="31"/>
      <c r="M3" s="1130"/>
      <c r="N3" s="1130"/>
      <c r="O3" s="1130"/>
    </row>
    <row r="4" spans="1:26" s="10" customFormat="1" ht="42" customHeight="1" x14ac:dyDescent="0.25">
      <c r="A4" s="1122" t="s">
        <v>0</v>
      </c>
      <c r="B4" s="1122" t="s">
        <v>1</v>
      </c>
      <c r="C4" s="1127" t="s">
        <v>2</v>
      </c>
      <c r="D4" s="1146" t="s">
        <v>508</v>
      </c>
      <c r="E4" s="1146"/>
      <c r="F4" s="1146"/>
      <c r="G4" s="1146"/>
      <c r="H4" s="1146"/>
      <c r="I4" s="1146"/>
      <c r="J4" s="1146"/>
      <c r="K4" s="1146"/>
      <c r="L4" s="1147" t="s">
        <v>509</v>
      </c>
      <c r="M4" s="1148"/>
      <c r="N4" s="1148"/>
      <c r="O4" s="1148"/>
      <c r="P4" s="1148"/>
      <c r="Q4" s="1148"/>
      <c r="R4" s="1140" t="s">
        <v>510</v>
      </c>
      <c r="S4" s="1140"/>
      <c r="T4" s="1140"/>
      <c r="U4" s="1140"/>
      <c r="V4" s="1140"/>
      <c r="W4" s="1140"/>
      <c r="X4" s="1140"/>
      <c r="Y4" s="1140"/>
      <c r="Z4" s="1140"/>
    </row>
    <row r="5" spans="1:26" s="10" customFormat="1" ht="68.25" customHeight="1" x14ac:dyDescent="0.25">
      <c r="A5" s="1123"/>
      <c r="B5" s="1123"/>
      <c r="C5" s="1150"/>
      <c r="D5" s="1142" t="s">
        <v>511</v>
      </c>
      <c r="E5" s="1142" t="s">
        <v>512</v>
      </c>
      <c r="F5" s="156" t="s">
        <v>716</v>
      </c>
      <c r="G5" s="156" t="s">
        <v>715</v>
      </c>
      <c r="H5" s="1142" t="s">
        <v>447</v>
      </c>
      <c r="I5" s="1142"/>
      <c r="J5" s="1142"/>
      <c r="K5" s="1143" t="s">
        <v>13</v>
      </c>
      <c r="L5" s="1145" t="s">
        <v>513</v>
      </c>
      <c r="M5" s="1145" t="s">
        <v>514</v>
      </c>
      <c r="N5" s="1145" t="s">
        <v>515</v>
      </c>
      <c r="O5" s="1145" t="s">
        <v>516</v>
      </c>
      <c r="P5" s="1145" t="s">
        <v>517</v>
      </c>
      <c r="Q5" s="1149" t="s">
        <v>13</v>
      </c>
      <c r="R5" s="1141" t="s">
        <v>518</v>
      </c>
      <c r="S5" s="1141" t="s">
        <v>519</v>
      </c>
      <c r="T5" s="1141" t="s">
        <v>520</v>
      </c>
      <c r="U5" s="1141" t="s">
        <v>521</v>
      </c>
      <c r="V5" s="1141" t="s">
        <v>522</v>
      </c>
      <c r="W5" s="1141" t="s">
        <v>523</v>
      </c>
      <c r="X5" s="1138" t="s">
        <v>524</v>
      </c>
      <c r="Y5" s="1139" t="s">
        <v>525</v>
      </c>
      <c r="Z5" s="1140" t="s">
        <v>13</v>
      </c>
    </row>
    <row r="6" spans="1:26" ht="60" customHeight="1" x14ac:dyDescent="0.25">
      <c r="A6" s="1129"/>
      <c r="B6" s="1129"/>
      <c r="C6" s="1128"/>
      <c r="D6" s="1142"/>
      <c r="E6" s="1142"/>
      <c r="F6" s="167" t="s">
        <v>526</v>
      </c>
      <c r="G6" s="167" t="s">
        <v>13</v>
      </c>
      <c r="H6" s="24" t="s">
        <v>527</v>
      </c>
      <c r="I6" s="165" t="s">
        <v>528</v>
      </c>
      <c r="J6" s="165" t="s">
        <v>529</v>
      </c>
      <c r="K6" s="1144"/>
      <c r="L6" s="1145"/>
      <c r="M6" s="1145"/>
      <c r="N6" s="1145"/>
      <c r="O6" s="1145"/>
      <c r="P6" s="1145"/>
      <c r="Q6" s="1149"/>
      <c r="R6" s="1141"/>
      <c r="S6" s="1141"/>
      <c r="T6" s="1141"/>
      <c r="U6" s="1141"/>
      <c r="V6" s="1141"/>
      <c r="W6" s="1141"/>
      <c r="X6" s="1138"/>
      <c r="Y6" s="1139"/>
      <c r="Z6" s="1140"/>
    </row>
    <row r="7" spans="1:26" x14ac:dyDescent="0.25">
      <c r="A7" s="1131" t="s">
        <v>13</v>
      </c>
      <c r="B7" s="1131"/>
      <c r="C7" s="1131"/>
      <c r="D7" s="170">
        <f>D8+D10+D9</f>
        <v>104720</v>
      </c>
      <c r="E7" s="170">
        <f t="shared" ref="E7:Z7" si="0">E8+E10+E9</f>
        <v>5314</v>
      </c>
      <c r="F7" s="170">
        <f t="shared" si="0"/>
        <v>14971</v>
      </c>
      <c r="G7" s="170">
        <f t="shared" si="0"/>
        <v>10675</v>
      </c>
      <c r="H7" s="170">
        <f t="shared" si="0"/>
        <v>8260</v>
      </c>
      <c r="I7" s="170">
        <f t="shared" si="0"/>
        <v>549</v>
      </c>
      <c r="J7" s="170">
        <f t="shared" si="0"/>
        <v>1866</v>
      </c>
      <c r="K7" s="170">
        <f t="shared" si="0"/>
        <v>135680</v>
      </c>
      <c r="L7" s="170">
        <f t="shared" si="0"/>
        <v>2668</v>
      </c>
      <c r="M7" s="170">
        <f t="shared" si="0"/>
        <v>15352</v>
      </c>
      <c r="N7" s="170">
        <f t="shared" si="0"/>
        <v>49448</v>
      </c>
      <c r="O7" s="170">
        <f t="shared" si="0"/>
        <v>30177</v>
      </c>
      <c r="P7" s="170">
        <f t="shared" si="0"/>
        <v>6323</v>
      </c>
      <c r="Q7" s="170">
        <f t="shared" si="0"/>
        <v>103968</v>
      </c>
      <c r="R7" s="170">
        <f t="shared" si="0"/>
        <v>344</v>
      </c>
      <c r="S7" s="170">
        <f t="shared" si="0"/>
        <v>815</v>
      </c>
      <c r="T7" s="170">
        <f t="shared" si="0"/>
        <v>665</v>
      </c>
      <c r="U7" s="170">
        <f t="shared" si="0"/>
        <v>435</v>
      </c>
      <c r="V7" s="170">
        <f t="shared" si="0"/>
        <v>510</v>
      </c>
      <c r="W7" s="170">
        <f t="shared" si="0"/>
        <v>800</v>
      </c>
      <c r="X7" s="170">
        <f t="shared" si="0"/>
        <v>2106</v>
      </c>
      <c r="Y7" s="170">
        <f t="shared" si="0"/>
        <v>48</v>
      </c>
      <c r="Z7" s="170">
        <f t="shared" si="0"/>
        <v>5723</v>
      </c>
    </row>
    <row r="8" spans="1:26" x14ac:dyDescent="0.25">
      <c r="A8" s="15"/>
      <c r="B8" s="15"/>
      <c r="C8" s="16" t="s">
        <v>14</v>
      </c>
      <c r="D8" s="146"/>
      <c r="E8" s="146"/>
      <c r="F8" s="146"/>
      <c r="G8" s="146">
        <f>H8+I8+J8</f>
        <v>0</v>
      </c>
      <c r="H8" s="146"/>
      <c r="I8" s="146"/>
      <c r="J8" s="146"/>
      <c r="K8" s="146">
        <f>D8+E8+F8+G8</f>
        <v>0</v>
      </c>
      <c r="L8" s="146"/>
      <c r="M8" s="173"/>
      <c r="N8" s="173"/>
      <c r="O8" s="146"/>
      <c r="P8" s="146"/>
      <c r="Q8" s="146">
        <f>P8+L8+M8+N8+O8</f>
        <v>0</v>
      </c>
      <c r="R8" s="146"/>
      <c r="S8" s="146"/>
      <c r="T8" s="146"/>
      <c r="U8" s="146"/>
      <c r="V8" s="146"/>
      <c r="W8" s="146"/>
      <c r="X8" s="146"/>
      <c r="Y8" s="146"/>
      <c r="Z8" s="146">
        <f>R8+S8+T8+U8+V8+W8+X8+Y8</f>
        <v>0</v>
      </c>
    </row>
    <row r="9" spans="1:26" x14ac:dyDescent="0.25">
      <c r="A9" s="15"/>
      <c r="B9" s="15"/>
      <c r="C9" s="16" t="s">
        <v>545</v>
      </c>
      <c r="D9" s="146"/>
      <c r="E9" s="146"/>
      <c r="F9" s="146"/>
      <c r="G9" s="146">
        <f>H9+I9+J9</f>
        <v>0</v>
      </c>
      <c r="H9" s="146"/>
      <c r="I9" s="146"/>
      <c r="J9" s="146"/>
      <c r="K9" s="146">
        <f>D9+E9+F9+G9</f>
        <v>0</v>
      </c>
      <c r="L9" s="146">
        <v>67</v>
      </c>
      <c r="M9" s="147">
        <v>200</v>
      </c>
      <c r="N9" s="147">
        <v>267</v>
      </c>
      <c r="O9" s="146">
        <v>133</v>
      </c>
      <c r="P9" s="146"/>
      <c r="Q9" s="146">
        <f>P9+L9+M9+N9+O9</f>
        <v>667</v>
      </c>
      <c r="R9" s="146"/>
      <c r="S9" s="146"/>
      <c r="T9" s="146"/>
      <c r="U9" s="146"/>
      <c r="V9" s="146"/>
      <c r="W9" s="146"/>
      <c r="X9" s="146"/>
      <c r="Y9" s="146"/>
      <c r="Z9" s="146">
        <f>R9+S9+T9+U9+V9+W9+X9+Y9</f>
        <v>0</v>
      </c>
    </row>
    <row r="10" spans="1:26" s="10" customFormat="1" x14ac:dyDescent="0.25">
      <c r="A10" s="1131" t="s">
        <v>15</v>
      </c>
      <c r="B10" s="1131"/>
      <c r="C10" s="1131"/>
      <c r="D10" s="170">
        <f t="shared" ref="D10:K10" si="1">SUM(D11:D148)-D36-D74-D75-D77-D78-D79-D84-D87-D91</f>
        <v>104720</v>
      </c>
      <c r="E10" s="170">
        <f t="shared" si="1"/>
        <v>5314</v>
      </c>
      <c r="F10" s="170">
        <f t="shared" si="1"/>
        <v>14971</v>
      </c>
      <c r="G10" s="170">
        <f t="shared" si="1"/>
        <v>10675</v>
      </c>
      <c r="H10" s="170">
        <f t="shared" si="1"/>
        <v>8260</v>
      </c>
      <c r="I10" s="170">
        <f t="shared" si="1"/>
        <v>549</v>
      </c>
      <c r="J10" s="170">
        <f t="shared" si="1"/>
        <v>1866</v>
      </c>
      <c r="K10" s="170">
        <f t="shared" si="1"/>
        <v>135680</v>
      </c>
      <c r="L10" s="170">
        <f t="shared" ref="L10:Z10" si="2">SUM(L11:L148)-L36-L74-L75-L77-L78-L79-L84-L87-L91</f>
        <v>2601</v>
      </c>
      <c r="M10" s="170">
        <f t="shared" si="2"/>
        <v>15152</v>
      </c>
      <c r="N10" s="170">
        <f t="shared" si="2"/>
        <v>49181</v>
      </c>
      <c r="O10" s="170">
        <f t="shared" si="2"/>
        <v>30044</v>
      </c>
      <c r="P10" s="170">
        <f t="shared" si="2"/>
        <v>6323</v>
      </c>
      <c r="Q10" s="170">
        <f t="shared" si="2"/>
        <v>103301</v>
      </c>
      <c r="R10" s="170">
        <f t="shared" si="2"/>
        <v>344</v>
      </c>
      <c r="S10" s="170">
        <f t="shared" si="2"/>
        <v>815</v>
      </c>
      <c r="T10" s="170">
        <f t="shared" si="2"/>
        <v>665</v>
      </c>
      <c r="U10" s="170">
        <f t="shared" si="2"/>
        <v>435</v>
      </c>
      <c r="V10" s="170">
        <f t="shared" si="2"/>
        <v>510</v>
      </c>
      <c r="W10" s="170">
        <f t="shared" si="2"/>
        <v>800</v>
      </c>
      <c r="X10" s="170">
        <f t="shared" si="2"/>
        <v>2106</v>
      </c>
      <c r="Y10" s="170">
        <f t="shared" si="2"/>
        <v>48</v>
      </c>
      <c r="Z10" s="170">
        <f t="shared" si="2"/>
        <v>5723</v>
      </c>
    </row>
    <row r="11" spans="1:26" s="19" customFormat="1" x14ac:dyDescent="0.25">
      <c r="A11" s="588">
        <v>1</v>
      </c>
      <c r="B11" s="70" t="s">
        <v>54</v>
      </c>
      <c r="C11" s="30" t="s">
        <v>55</v>
      </c>
      <c r="D11" s="556">
        <v>393</v>
      </c>
      <c r="E11" s="556">
        <v>0</v>
      </c>
      <c r="F11" s="556">
        <v>0</v>
      </c>
      <c r="G11" s="556">
        <f>H11+I11+J11</f>
        <v>0</v>
      </c>
      <c r="H11" s="556">
        <v>0</v>
      </c>
      <c r="I11" s="556">
        <v>0</v>
      </c>
      <c r="J11" s="556">
        <v>0</v>
      </c>
      <c r="K11" s="556">
        <f>D11+E11+F11+G11</f>
        <v>393</v>
      </c>
      <c r="L11" s="556">
        <v>0</v>
      </c>
      <c r="M11" s="556">
        <v>0</v>
      </c>
      <c r="N11" s="556">
        <v>0</v>
      </c>
      <c r="O11" s="556">
        <v>0</v>
      </c>
      <c r="P11" s="556">
        <v>0</v>
      </c>
      <c r="Q11" s="556">
        <f>L11+M11+N11+O11+P11</f>
        <v>0</v>
      </c>
      <c r="R11" s="556"/>
      <c r="S11" s="556"/>
      <c r="T11" s="556"/>
      <c r="U11" s="556"/>
      <c r="V11" s="556"/>
      <c r="W11" s="556"/>
      <c r="X11" s="556"/>
      <c r="Y11" s="556"/>
      <c r="Z11" s="556">
        <f>R11+S11+T11+U11+V11+W11+X11+Y11</f>
        <v>0</v>
      </c>
    </row>
    <row r="12" spans="1:26" s="19" customFormat="1" x14ac:dyDescent="0.25">
      <c r="A12" s="588">
        <v>2</v>
      </c>
      <c r="B12" s="71" t="s">
        <v>56</v>
      </c>
      <c r="C12" s="30" t="s">
        <v>57</v>
      </c>
      <c r="D12" s="556">
        <v>407</v>
      </c>
      <c r="E12" s="556">
        <v>0</v>
      </c>
      <c r="F12" s="556">
        <v>59</v>
      </c>
      <c r="G12" s="556">
        <f t="shared" ref="G12:G72" si="3">H12+I12+J12</f>
        <v>0</v>
      </c>
      <c r="H12" s="556">
        <v>0</v>
      </c>
      <c r="I12" s="556">
        <v>0</v>
      </c>
      <c r="J12" s="556">
        <v>0</v>
      </c>
      <c r="K12" s="556">
        <f t="shared" ref="K12:K72" si="4">D12+E12+F12+G12</f>
        <v>466</v>
      </c>
      <c r="L12" s="556">
        <v>0</v>
      </c>
      <c r="M12" s="556">
        <v>0</v>
      </c>
      <c r="N12" s="556">
        <v>0</v>
      </c>
      <c r="O12" s="556">
        <v>0</v>
      </c>
      <c r="P12" s="556">
        <v>0</v>
      </c>
      <c r="Q12" s="556">
        <f t="shared" ref="Q12:Q72" si="5">L12+M12+N12+O12+P12</f>
        <v>0</v>
      </c>
      <c r="R12" s="556"/>
      <c r="S12" s="556"/>
      <c r="T12" s="556"/>
      <c r="U12" s="556"/>
      <c r="V12" s="556"/>
      <c r="W12" s="556"/>
      <c r="X12" s="556"/>
      <c r="Y12" s="556"/>
      <c r="Z12" s="556">
        <f t="shared" ref="Z12:Z72" si="6">R12+S12+T12+U12+V12+W12+X12+Y12</f>
        <v>0</v>
      </c>
    </row>
    <row r="13" spans="1:26" s="10" customFormat="1" x14ac:dyDescent="0.25">
      <c r="A13" s="588">
        <v>3</v>
      </c>
      <c r="B13" s="604" t="s">
        <v>16</v>
      </c>
      <c r="C13" s="30" t="s">
        <v>17</v>
      </c>
      <c r="D13" s="556">
        <v>1643</v>
      </c>
      <c r="E13" s="556">
        <v>92</v>
      </c>
      <c r="F13" s="556">
        <v>237</v>
      </c>
      <c r="G13" s="556">
        <f t="shared" si="3"/>
        <v>0</v>
      </c>
      <c r="H13" s="556">
        <v>0</v>
      </c>
      <c r="I13" s="556">
        <v>0</v>
      </c>
      <c r="J13" s="556">
        <v>0</v>
      </c>
      <c r="K13" s="556">
        <f t="shared" si="4"/>
        <v>1972</v>
      </c>
      <c r="L13" s="556">
        <v>48</v>
      </c>
      <c r="M13" s="556">
        <v>334</v>
      </c>
      <c r="N13" s="556">
        <v>959</v>
      </c>
      <c r="O13" s="556">
        <v>650</v>
      </c>
      <c r="P13" s="556">
        <v>0</v>
      </c>
      <c r="Q13" s="556">
        <f t="shared" si="5"/>
        <v>1991</v>
      </c>
      <c r="R13" s="556"/>
      <c r="S13" s="556"/>
      <c r="T13" s="556"/>
      <c r="U13" s="556"/>
      <c r="V13" s="556"/>
      <c r="W13" s="556"/>
      <c r="X13" s="556"/>
      <c r="Y13" s="556"/>
      <c r="Z13" s="556">
        <f t="shared" si="6"/>
        <v>0</v>
      </c>
    </row>
    <row r="14" spans="1:26" s="26" customFormat="1" x14ac:dyDescent="0.25">
      <c r="A14" s="588">
        <v>4</v>
      </c>
      <c r="B14" s="70" t="s">
        <v>58</v>
      </c>
      <c r="C14" s="30" t="s">
        <v>59</v>
      </c>
      <c r="D14" s="556">
        <v>437</v>
      </c>
      <c r="E14" s="556">
        <v>0</v>
      </c>
      <c r="F14" s="556">
        <v>0</v>
      </c>
      <c r="G14" s="556">
        <f t="shared" si="3"/>
        <v>0</v>
      </c>
      <c r="H14" s="556">
        <v>0</v>
      </c>
      <c r="I14" s="556">
        <v>0</v>
      </c>
      <c r="J14" s="556">
        <v>0</v>
      </c>
      <c r="K14" s="556">
        <f t="shared" si="4"/>
        <v>437</v>
      </c>
      <c r="L14" s="556">
        <v>0</v>
      </c>
      <c r="M14" s="556">
        <v>0</v>
      </c>
      <c r="N14" s="556">
        <v>0</v>
      </c>
      <c r="O14" s="556">
        <v>0</v>
      </c>
      <c r="P14" s="556">
        <v>0</v>
      </c>
      <c r="Q14" s="556">
        <f t="shared" si="5"/>
        <v>0</v>
      </c>
      <c r="R14" s="556"/>
      <c r="S14" s="556"/>
      <c r="T14" s="556"/>
      <c r="U14" s="556"/>
      <c r="V14" s="556"/>
      <c r="W14" s="556"/>
      <c r="X14" s="556"/>
      <c r="Y14" s="556"/>
      <c r="Z14" s="556">
        <f t="shared" si="6"/>
        <v>0</v>
      </c>
    </row>
    <row r="15" spans="1:26" s="26" customFormat="1" x14ac:dyDescent="0.25">
      <c r="A15" s="588">
        <v>5</v>
      </c>
      <c r="B15" s="70" t="s">
        <v>60</v>
      </c>
      <c r="C15" s="30" t="s">
        <v>61</v>
      </c>
      <c r="D15" s="556">
        <v>475</v>
      </c>
      <c r="E15" s="556">
        <v>13</v>
      </c>
      <c r="F15" s="556">
        <v>69</v>
      </c>
      <c r="G15" s="556">
        <f t="shared" si="3"/>
        <v>0</v>
      </c>
      <c r="H15" s="556">
        <v>0</v>
      </c>
      <c r="I15" s="556">
        <v>0</v>
      </c>
      <c r="J15" s="556">
        <v>0</v>
      </c>
      <c r="K15" s="556">
        <f t="shared" si="4"/>
        <v>557</v>
      </c>
      <c r="L15" s="556">
        <v>0</v>
      </c>
      <c r="M15" s="556">
        <v>0</v>
      </c>
      <c r="N15" s="556">
        <v>0</v>
      </c>
      <c r="O15" s="556">
        <v>0</v>
      </c>
      <c r="P15" s="556">
        <v>0</v>
      </c>
      <c r="Q15" s="556">
        <f t="shared" si="5"/>
        <v>0</v>
      </c>
      <c r="R15" s="556"/>
      <c r="S15" s="556"/>
      <c r="T15" s="556"/>
      <c r="U15" s="556"/>
      <c r="V15" s="556"/>
      <c r="W15" s="556"/>
      <c r="X15" s="556"/>
      <c r="Y15" s="556"/>
      <c r="Z15" s="556">
        <f t="shared" si="6"/>
        <v>0</v>
      </c>
    </row>
    <row r="16" spans="1:26" s="148" customFormat="1" x14ac:dyDescent="0.25">
      <c r="A16" s="588">
        <v>6</v>
      </c>
      <c r="B16" s="604" t="s">
        <v>18</v>
      </c>
      <c r="C16" s="30" t="s">
        <v>19</v>
      </c>
      <c r="D16" s="556">
        <v>3393</v>
      </c>
      <c r="E16" s="556">
        <v>93</v>
      </c>
      <c r="F16" s="556">
        <v>495</v>
      </c>
      <c r="G16" s="556">
        <f t="shared" si="3"/>
        <v>598</v>
      </c>
      <c r="H16" s="556">
        <v>450</v>
      </c>
      <c r="I16" s="556">
        <v>58</v>
      </c>
      <c r="J16" s="556">
        <v>90</v>
      </c>
      <c r="K16" s="556">
        <f t="shared" si="4"/>
        <v>4579</v>
      </c>
      <c r="L16" s="556">
        <v>110</v>
      </c>
      <c r="M16" s="556">
        <v>871</v>
      </c>
      <c r="N16" s="556">
        <v>2668</v>
      </c>
      <c r="O16" s="556">
        <v>1807</v>
      </c>
      <c r="P16" s="556">
        <v>0</v>
      </c>
      <c r="Q16" s="556">
        <f t="shared" si="5"/>
        <v>5456</v>
      </c>
      <c r="R16" s="556"/>
      <c r="S16" s="556"/>
      <c r="T16" s="556"/>
      <c r="U16" s="556"/>
      <c r="V16" s="556"/>
      <c r="W16" s="556"/>
      <c r="X16" s="556"/>
      <c r="Y16" s="556"/>
      <c r="Z16" s="556">
        <f t="shared" si="6"/>
        <v>0</v>
      </c>
    </row>
    <row r="17" spans="1:26" s="26" customFormat="1" x14ac:dyDescent="0.25">
      <c r="A17" s="588">
        <v>7</v>
      </c>
      <c r="B17" s="70" t="s">
        <v>62</v>
      </c>
      <c r="C17" s="30" t="s">
        <v>63</v>
      </c>
      <c r="D17" s="556">
        <v>1246</v>
      </c>
      <c r="E17" s="556">
        <v>34</v>
      </c>
      <c r="F17" s="556">
        <v>181</v>
      </c>
      <c r="G17" s="556">
        <f t="shared" si="3"/>
        <v>155</v>
      </c>
      <c r="H17" s="556">
        <v>142</v>
      </c>
      <c r="I17" s="556">
        <v>3</v>
      </c>
      <c r="J17" s="556">
        <v>10</v>
      </c>
      <c r="K17" s="556">
        <f t="shared" si="4"/>
        <v>1616</v>
      </c>
      <c r="L17" s="556">
        <v>0</v>
      </c>
      <c r="M17" s="556">
        <v>0</v>
      </c>
      <c r="N17" s="556">
        <v>0</v>
      </c>
      <c r="O17" s="556">
        <v>0</v>
      </c>
      <c r="P17" s="556">
        <v>0</v>
      </c>
      <c r="Q17" s="556">
        <f t="shared" si="5"/>
        <v>0</v>
      </c>
      <c r="R17" s="556"/>
      <c r="S17" s="556"/>
      <c r="T17" s="556"/>
      <c r="U17" s="556"/>
      <c r="V17" s="556"/>
      <c r="W17" s="556"/>
      <c r="X17" s="556"/>
      <c r="Y17" s="556"/>
      <c r="Z17" s="556">
        <f t="shared" si="6"/>
        <v>0</v>
      </c>
    </row>
    <row r="18" spans="1:26" s="26" customFormat="1" x14ac:dyDescent="0.25">
      <c r="A18" s="588">
        <v>8</v>
      </c>
      <c r="B18" s="604" t="s">
        <v>64</v>
      </c>
      <c r="C18" s="30" t="s">
        <v>65</v>
      </c>
      <c r="D18" s="556">
        <v>503</v>
      </c>
      <c r="E18" s="556">
        <v>0</v>
      </c>
      <c r="F18" s="556">
        <v>73</v>
      </c>
      <c r="G18" s="556">
        <f t="shared" si="3"/>
        <v>0</v>
      </c>
      <c r="H18" s="556">
        <v>0</v>
      </c>
      <c r="I18" s="556">
        <v>0</v>
      </c>
      <c r="J18" s="556">
        <v>0</v>
      </c>
      <c r="K18" s="556">
        <f t="shared" si="4"/>
        <v>576</v>
      </c>
      <c r="L18" s="556">
        <v>0</v>
      </c>
      <c r="M18" s="556">
        <v>0</v>
      </c>
      <c r="N18" s="556">
        <v>0</v>
      </c>
      <c r="O18" s="556">
        <v>0</v>
      </c>
      <c r="P18" s="556">
        <v>0</v>
      </c>
      <c r="Q18" s="556">
        <f t="shared" si="5"/>
        <v>0</v>
      </c>
      <c r="R18" s="556"/>
      <c r="S18" s="556"/>
      <c r="T18" s="556"/>
      <c r="U18" s="556"/>
      <c r="V18" s="556"/>
      <c r="W18" s="556"/>
      <c r="X18" s="556"/>
      <c r="Y18" s="556"/>
      <c r="Z18" s="556">
        <f t="shared" si="6"/>
        <v>0</v>
      </c>
    </row>
    <row r="19" spans="1:26" s="148" customFormat="1" x14ac:dyDescent="0.25">
      <c r="A19" s="588">
        <v>9</v>
      </c>
      <c r="B19" s="604" t="s">
        <v>66</v>
      </c>
      <c r="C19" s="30" t="s">
        <v>67</v>
      </c>
      <c r="D19" s="556">
        <v>450</v>
      </c>
      <c r="E19" s="556">
        <v>0</v>
      </c>
      <c r="F19" s="556">
        <v>66</v>
      </c>
      <c r="G19" s="556">
        <f t="shared" si="3"/>
        <v>0</v>
      </c>
      <c r="H19" s="556">
        <v>0</v>
      </c>
      <c r="I19" s="556">
        <v>0</v>
      </c>
      <c r="J19" s="556">
        <v>0</v>
      </c>
      <c r="K19" s="556">
        <f t="shared" si="4"/>
        <v>516</v>
      </c>
      <c r="L19" s="556">
        <v>0</v>
      </c>
      <c r="M19" s="556">
        <v>0</v>
      </c>
      <c r="N19" s="556">
        <v>0</v>
      </c>
      <c r="O19" s="556">
        <v>0</v>
      </c>
      <c r="P19" s="556">
        <v>0</v>
      </c>
      <c r="Q19" s="556">
        <f t="shared" si="5"/>
        <v>0</v>
      </c>
      <c r="R19" s="556"/>
      <c r="S19" s="556"/>
      <c r="T19" s="556"/>
      <c r="U19" s="556"/>
      <c r="V19" s="556"/>
      <c r="W19" s="556"/>
      <c r="X19" s="556"/>
      <c r="Y19" s="556"/>
      <c r="Z19" s="556">
        <f t="shared" si="6"/>
        <v>0</v>
      </c>
    </row>
    <row r="20" spans="1:26" s="26" customFormat="1" x14ac:dyDescent="0.25">
      <c r="A20" s="588">
        <v>10</v>
      </c>
      <c r="B20" s="604" t="s">
        <v>68</v>
      </c>
      <c r="C20" s="30" t="s">
        <v>69</v>
      </c>
      <c r="D20" s="556">
        <v>630</v>
      </c>
      <c r="E20" s="556">
        <v>0</v>
      </c>
      <c r="F20" s="556">
        <v>92</v>
      </c>
      <c r="G20" s="556">
        <f t="shared" si="3"/>
        <v>0</v>
      </c>
      <c r="H20" s="556">
        <v>0</v>
      </c>
      <c r="I20" s="556">
        <v>0</v>
      </c>
      <c r="J20" s="556">
        <v>0</v>
      </c>
      <c r="K20" s="556">
        <f t="shared" si="4"/>
        <v>722</v>
      </c>
      <c r="L20" s="556">
        <v>0</v>
      </c>
      <c r="M20" s="556">
        <v>0</v>
      </c>
      <c r="N20" s="556">
        <v>0</v>
      </c>
      <c r="O20" s="556">
        <v>0</v>
      </c>
      <c r="P20" s="556">
        <v>0</v>
      </c>
      <c r="Q20" s="556">
        <f t="shared" si="5"/>
        <v>0</v>
      </c>
      <c r="R20" s="556"/>
      <c r="S20" s="556"/>
      <c r="T20" s="556"/>
      <c r="U20" s="556"/>
      <c r="V20" s="556"/>
      <c r="W20" s="556"/>
      <c r="X20" s="556"/>
      <c r="Y20" s="556"/>
      <c r="Z20" s="556">
        <f t="shared" si="6"/>
        <v>0</v>
      </c>
    </row>
    <row r="21" spans="1:26" s="26" customFormat="1" x14ac:dyDescent="0.25">
      <c r="A21" s="588">
        <v>11</v>
      </c>
      <c r="B21" s="604" t="s">
        <v>70</v>
      </c>
      <c r="C21" s="30" t="s">
        <v>71</v>
      </c>
      <c r="D21" s="556">
        <v>448</v>
      </c>
      <c r="E21" s="556">
        <v>0</v>
      </c>
      <c r="F21" s="556">
        <v>65</v>
      </c>
      <c r="G21" s="556">
        <f t="shared" si="3"/>
        <v>0</v>
      </c>
      <c r="H21" s="556">
        <v>0</v>
      </c>
      <c r="I21" s="556">
        <v>0</v>
      </c>
      <c r="J21" s="556">
        <v>0</v>
      </c>
      <c r="K21" s="556">
        <f t="shared" si="4"/>
        <v>513</v>
      </c>
      <c r="L21" s="556">
        <v>0</v>
      </c>
      <c r="M21" s="556">
        <v>0</v>
      </c>
      <c r="N21" s="556">
        <v>0</v>
      </c>
      <c r="O21" s="556">
        <v>0</v>
      </c>
      <c r="P21" s="556">
        <v>0</v>
      </c>
      <c r="Q21" s="556">
        <f t="shared" si="5"/>
        <v>0</v>
      </c>
      <c r="R21" s="556"/>
      <c r="S21" s="556"/>
      <c r="T21" s="556"/>
      <c r="U21" s="556"/>
      <c r="V21" s="556"/>
      <c r="W21" s="556"/>
      <c r="X21" s="556"/>
      <c r="Y21" s="556"/>
      <c r="Z21" s="556">
        <f t="shared" si="6"/>
        <v>0</v>
      </c>
    </row>
    <row r="22" spans="1:26" s="26" customFormat="1" x14ac:dyDescent="0.25">
      <c r="A22" s="588">
        <v>12</v>
      </c>
      <c r="B22" s="604" t="s">
        <v>72</v>
      </c>
      <c r="C22" s="30" t="s">
        <v>73</v>
      </c>
      <c r="D22" s="556">
        <v>928</v>
      </c>
      <c r="E22" s="556">
        <v>0</v>
      </c>
      <c r="F22" s="556">
        <v>135</v>
      </c>
      <c r="G22" s="556">
        <f t="shared" si="3"/>
        <v>133</v>
      </c>
      <c r="H22" s="556">
        <v>106</v>
      </c>
      <c r="I22" s="556">
        <v>5</v>
      </c>
      <c r="J22" s="556">
        <v>22</v>
      </c>
      <c r="K22" s="556">
        <f t="shared" si="4"/>
        <v>1196</v>
      </c>
      <c r="L22" s="556">
        <v>0</v>
      </c>
      <c r="M22" s="556">
        <v>0</v>
      </c>
      <c r="N22" s="556">
        <v>0</v>
      </c>
      <c r="O22" s="556">
        <v>0</v>
      </c>
      <c r="P22" s="556">
        <v>0</v>
      </c>
      <c r="Q22" s="556">
        <f t="shared" si="5"/>
        <v>0</v>
      </c>
      <c r="R22" s="556"/>
      <c r="S22" s="556"/>
      <c r="T22" s="556"/>
      <c r="U22" s="556"/>
      <c r="V22" s="556"/>
      <c r="W22" s="556"/>
      <c r="X22" s="556"/>
      <c r="Y22" s="556"/>
      <c r="Z22" s="556">
        <f t="shared" si="6"/>
        <v>0</v>
      </c>
    </row>
    <row r="23" spans="1:26" s="26" customFormat="1" x14ac:dyDescent="0.25">
      <c r="A23" s="588">
        <v>13</v>
      </c>
      <c r="B23" s="604" t="s">
        <v>74</v>
      </c>
      <c r="C23" s="30" t="s">
        <v>75</v>
      </c>
      <c r="D23" s="556">
        <v>0</v>
      </c>
      <c r="E23" s="556">
        <v>0</v>
      </c>
      <c r="F23" s="556">
        <v>0</v>
      </c>
      <c r="G23" s="556">
        <f t="shared" si="3"/>
        <v>0</v>
      </c>
      <c r="H23" s="556">
        <v>0</v>
      </c>
      <c r="I23" s="556">
        <v>0</v>
      </c>
      <c r="J23" s="556">
        <v>0</v>
      </c>
      <c r="K23" s="556">
        <f t="shared" si="4"/>
        <v>0</v>
      </c>
      <c r="L23" s="556">
        <v>0</v>
      </c>
      <c r="M23" s="556">
        <v>0</v>
      </c>
      <c r="N23" s="556">
        <v>0</v>
      </c>
      <c r="O23" s="556">
        <v>0</v>
      </c>
      <c r="P23" s="556">
        <v>0</v>
      </c>
      <c r="Q23" s="556">
        <f t="shared" si="5"/>
        <v>0</v>
      </c>
      <c r="R23" s="556"/>
      <c r="S23" s="556"/>
      <c r="T23" s="556"/>
      <c r="U23" s="556"/>
      <c r="V23" s="556"/>
      <c r="W23" s="556"/>
      <c r="X23" s="556"/>
      <c r="Y23" s="556"/>
      <c r="Z23" s="556">
        <f t="shared" si="6"/>
        <v>0</v>
      </c>
    </row>
    <row r="24" spans="1:26" s="26" customFormat="1" x14ac:dyDescent="0.25">
      <c r="A24" s="588">
        <v>14</v>
      </c>
      <c r="B24" s="604" t="s">
        <v>76</v>
      </c>
      <c r="C24" s="30" t="s">
        <v>77</v>
      </c>
      <c r="D24" s="556">
        <v>576</v>
      </c>
      <c r="E24" s="556">
        <v>10</v>
      </c>
      <c r="F24" s="556">
        <v>84</v>
      </c>
      <c r="G24" s="556">
        <f t="shared" si="3"/>
        <v>43</v>
      </c>
      <c r="H24" s="556">
        <v>43</v>
      </c>
      <c r="I24" s="556">
        <v>0</v>
      </c>
      <c r="J24" s="556">
        <v>0</v>
      </c>
      <c r="K24" s="556">
        <f t="shared" si="4"/>
        <v>713</v>
      </c>
      <c r="L24" s="556">
        <v>0</v>
      </c>
      <c r="M24" s="556">
        <v>0</v>
      </c>
      <c r="N24" s="556">
        <v>0</v>
      </c>
      <c r="O24" s="556">
        <v>0</v>
      </c>
      <c r="P24" s="556">
        <v>0</v>
      </c>
      <c r="Q24" s="556">
        <f t="shared" si="5"/>
        <v>0</v>
      </c>
      <c r="R24" s="556"/>
      <c r="S24" s="556"/>
      <c r="T24" s="556"/>
      <c r="U24" s="556"/>
      <c r="V24" s="556"/>
      <c r="W24" s="556"/>
      <c r="X24" s="556"/>
      <c r="Y24" s="556"/>
      <c r="Z24" s="556">
        <f t="shared" si="6"/>
        <v>0</v>
      </c>
    </row>
    <row r="25" spans="1:26" s="26" customFormat="1" x14ac:dyDescent="0.25">
      <c r="A25" s="588">
        <v>15</v>
      </c>
      <c r="B25" s="604" t="s">
        <v>78</v>
      </c>
      <c r="C25" s="30" t="s">
        <v>79</v>
      </c>
      <c r="D25" s="556">
        <v>831</v>
      </c>
      <c r="E25" s="556">
        <v>0</v>
      </c>
      <c r="F25" s="556">
        <v>121</v>
      </c>
      <c r="G25" s="556">
        <f t="shared" si="3"/>
        <v>0</v>
      </c>
      <c r="H25" s="556">
        <v>0</v>
      </c>
      <c r="I25" s="556">
        <v>0</v>
      </c>
      <c r="J25" s="556">
        <v>0</v>
      </c>
      <c r="K25" s="556">
        <f t="shared" si="4"/>
        <v>952</v>
      </c>
      <c r="L25" s="556">
        <v>0</v>
      </c>
      <c r="M25" s="556">
        <v>0</v>
      </c>
      <c r="N25" s="556">
        <v>0</v>
      </c>
      <c r="O25" s="556">
        <v>0</v>
      </c>
      <c r="P25" s="556">
        <v>0</v>
      </c>
      <c r="Q25" s="556">
        <f t="shared" si="5"/>
        <v>0</v>
      </c>
      <c r="R25" s="556"/>
      <c r="S25" s="556"/>
      <c r="T25" s="556"/>
      <c r="U25" s="556"/>
      <c r="V25" s="556"/>
      <c r="W25" s="556"/>
      <c r="X25" s="556"/>
      <c r="Y25" s="556"/>
      <c r="Z25" s="556">
        <f t="shared" si="6"/>
        <v>0</v>
      </c>
    </row>
    <row r="26" spans="1:26" s="26" customFormat="1" x14ac:dyDescent="0.25">
      <c r="A26" s="588">
        <v>16</v>
      </c>
      <c r="B26" s="604" t="s">
        <v>80</v>
      </c>
      <c r="C26" s="30" t="s">
        <v>81</v>
      </c>
      <c r="D26" s="556">
        <v>1087</v>
      </c>
      <c r="E26" s="556">
        <v>30</v>
      </c>
      <c r="F26" s="556">
        <v>158</v>
      </c>
      <c r="G26" s="556">
        <f t="shared" si="3"/>
        <v>149</v>
      </c>
      <c r="H26" s="556">
        <v>131</v>
      </c>
      <c r="I26" s="556">
        <v>9</v>
      </c>
      <c r="J26" s="556">
        <v>9</v>
      </c>
      <c r="K26" s="556">
        <f t="shared" si="4"/>
        <v>1424</v>
      </c>
      <c r="L26" s="556">
        <v>0</v>
      </c>
      <c r="M26" s="556">
        <v>0</v>
      </c>
      <c r="N26" s="556">
        <v>0</v>
      </c>
      <c r="O26" s="556">
        <v>0</v>
      </c>
      <c r="P26" s="556">
        <v>0</v>
      </c>
      <c r="Q26" s="556">
        <f t="shared" si="5"/>
        <v>0</v>
      </c>
      <c r="R26" s="556"/>
      <c r="S26" s="556"/>
      <c r="T26" s="556"/>
      <c r="U26" s="556"/>
      <c r="V26" s="556"/>
      <c r="W26" s="556"/>
      <c r="X26" s="556"/>
      <c r="Y26" s="556"/>
      <c r="Z26" s="556">
        <f t="shared" si="6"/>
        <v>0</v>
      </c>
    </row>
    <row r="27" spans="1:26" s="26" customFormat="1" x14ac:dyDescent="0.25">
      <c r="A27" s="588">
        <v>17</v>
      </c>
      <c r="B27" s="604" t="s">
        <v>20</v>
      </c>
      <c r="C27" s="30" t="s">
        <v>21</v>
      </c>
      <c r="D27" s="556">
        <v>2302</v>
      </c>
      <c r="E27" s="556">
        <v>43</v>
      </c>
      <c r="F27" s="556">
        <v>351</v>
      </c>
      <c r="G27" s="556">
        <f t="shared" si="3"/>
        <v>364</v>
      </c>
      <c r="H27" s="556">
        <v>288</v>
      </c>
      <c r="I27" s="556">
        <v>36</v>
      </c>
      <c r="J27" s="556">
        <v>40</v>
      </c>
      <c r="K27" s="556">
        <f t="shared" si="4"/>
        <v>3060</v>
      </c>
      <c r="L27" s="556">
        <v>41</v>
      </c>
      <c r="M27" s="556">
        <v>595</v>
      </c>
      <c r="N27" s="556">
        <v>2909</v>
      </c>
      <c r="O27" s="556">
        <v>2023</v>
      </c>
      <c r="P27" s="556">
        <v>0</v>
      </c>
      <c r="Q27" s="556">
        <f t="shared" si="5"/>
        <v>5568</v>
      </c>
      <c r="R27" s="556"/>
      <c r="S27" s="556"/>
      <c r="T27" s="556"/>
      <c r="U27" s="556"/>
      <c r="V27" s="556"/>
      <c r="W27" s="556"/>
      <c r="X27" s="556"/>
      <c r="Y27" s="556"/>
      <c r="Z27" s="556">
        <f t="shared" si="6"/>
        <v>0</v>
      </c>
    </row>
    <row r="28" spans="1:26" s="26" customFormat="1" x14ac:dyDescent="0.25">
      <c r="A28" s="588">
        <v>18</v>
      </c>
      <c r="B28" s="70" t="s">
        <v>82</v>
      </c>
      <c r="C28" s="30" t="s">
        <v>83</v>
      </c>
      <c r="D28" s="556">
        <v>338</v>
      </c>
      <c r="E28" s="556">
        <v>0</v>
      </c>
      <c r="F28" s="556">
        <v>0</v>
      </c>
      <c r="G28" s="556">
        <f t="shared" si="3"/>
        <v>0</v>
      </c>
      <c r="H28" s="556">
        <v>0</v>
      </c>
      <c r="I28" s="556">
        <v>0</v>
      </c>
      <c r="J28" s="556">
        <v>0</v>
      </c>
      <c r="K28" s="556">
        <f t="shared" si="4"/>
        <v>338</v>
      </c>
      <c r="L28" s="556">
        <v>0</v>
      </c>
      <c r="M28" s="556">
        <v>0</v>
      </c>
      <c r="N28" s="556">
        <v>0</v>
      </c>
      <c r="O28" s="556">
        <v>0</v>
      </c>
      <c r="P28" s="556">
        <v>0</v>
      </c>
      <c r="Q28" s="556">
        <f t="shared" si="5"/>
        <v>0</v>
      </c>
      <c r="R28" s="556"/>
      <c r="S28" s="556"/>
      <c r="T28" s="556"/>
      <c r="U28" s="556"/>
      <c r="V28" s="556"/>
      <c r="W28" s="556"/>
      <c r="X28" s="556"/>
      <c r="Y28" s="556"/>
      <c r="Z28" s="556">
        <f t="shared" si="6"/>
        <v>0</v>
      </c>
    </row>
    <row r="29" spans="1:26" s="26" customFormat="1" x14ac:dyDescent="0.25">
      <c r="A29" s="588">
        <v>19</v>
      </c>
      <c r="B29" s="70" t="s">
        <v>84</v>
      </c>
      <c r="C29" s="30" t="s">
        <v>85</v>
      </c>
      <c r="D29" s="556">
        <v>286</v>
      </c>
      <c r="E29" s="556">
        <v>0</v>
      </c>
      <c r="F29" s="556">
        <v>42</v>
      </c>
      <c r="G29" s="556">
        <f t="shared" si="3"/>
        <v>40</v>
      </c>
      <c r="H29" s="556">
        <v>35</v>
      </c>
      <c r="I29" s="556">
        <v>0</v>
      </c>
      <c r="J29" s="556">
        <v>5</v>
      </c>
      <c r="K29" s="556">
        <f t="shared" si="4"/>
        <v>368</v>
      </c>
      <c r="L29" s="556">
        <v>0</v>
      </c>
      <c r="M29" s="556">
        <v>0</v>
      </c>
      <c r="N29" s="556">
        <v>0</v>
      </c>
      <c r="O29" s="556">
        <v>0</v>
      </c>
      <c r="P29" s="556">
        <v>0</v>
      </c>
      <c r="Q29" s="556">
        <f t="shared" si="5"/>
        <v>0</v>
      </c>
      <c r="R29" s="556"/>
      <c r="S29" s="556"/>
      <c r="T29" s="556"/>
      <c r="U29" s="556"/>
      <c r="V29" s="556"/>
      <c r="W29" s="556"/>
      <c r="X29" s="556"/>
      <c r="Y29" s="556"/>
      <c r="Z29" s="556">
        <f t="shared" si="6"/>
        <v>0</v>
      </c>
    </row>
    <row r="30" spans="1:26" s="148" customFormat="1" x14ac:dyDescent="0.25">
      <c r="A30" s="588">
        <v>20</v>
      </c>
      <c r="B30" s="70" t="s">
        <v>86</v>
      </c>
      <c r="C30" s="30" t="s">
        <v>87</v>
      </c>
      <c r="D30" s="556">
        <v>1810</v>
      </c>
      <c r="E30" s="556">
        <v>41</v>
      </c>
      <c r="F30" s="556">
        <v>215</v>
      </c>
      <c r="G30" s="556">
        <f t="shared" si="3"/>
        <v>184</v>
      </c>
      <c r="H30" s="556">
        <v>154</v>
      </c>
      <c r="I30" s="556">
        <v>0</v>
      </c>
      <c r="J30" s="556">
        <v>30</v>
      </c>
      <c r="K30" s="556">
        <f t="shared" si="4"/>
        <v>2250</v>
      </c>
      <c r="L30" s="556">
        <v>0</v>
      </c>
      <c r="M30" s="556">
        <v>0</v>
      </c>
      <c r="N30" s="556">
        <v>0</v>
      </c>
      <c r="O30" s="556">
        <v>0</v>
      </c>
      <c r="P30" s="556">
        <v>0</v>
      </c>
      <c r="Q30" s="556">
        <f t="shared" si="5"/>
        <v>0</v>
      </c>
      <c r="R30" s="556"/>
      <c r="S30" s="556"/>
      <c r="T30" s="556"/>
      <c r="U30" s="556"/>
      <c r="V30" s="556"/>
      <c r="W30" s="556"/>
      <c r="X30" s="556"/>
      <c r="Y30" s="556"/>
      <c r="Z30" s="556">
        <f t="shared" si="6"/>
        <v>0</v>
      </c>
    </row>
    <row r="31" spans="1:26" s="26" customFormat="1" x14ac:dyDescent="0.25">
      <c r="A31" s="588">
        <v>21</v>
      </c>
      <c r="B31" s="70" t="s">
        <v>22</v>
      </c>
      <c r="C31" s="30" t="s">
        <v>23</v>
      </c>
      <c r="D31" s="556">
        <v>1391</v>
      </c>
      <c r="E31" s="556">
        <v>42</v>
      </c>
      <c r="F31" s="556">
        <v>181</v>
      </c>
      <c r="G31" s="556">
        <f t="shared" si="3"/>
        <v>160</v>
      </c>
      <c r="H31" s="556">
        <v>155</v>
      </c>
      <c r="I31" s="556">
        <v>0</v>
      </c>
      <c r="J31" s="556">
        <v>5</v>
      </c>
      <c r="K31" s="556">
        <f t="shared" si="4"/>
        <v>1774</v>
      </c>
      <c r="L31" s="556">
        <v>0</v>
      </c>
      <c r="M31" s="556">
        <v>0</v>
      </c>
      <c r="N31" s="556">
        <v>0</v>
      </c>
      <c r="O31" s="556">
        <v>0</v>
      </c>
      <c r="P31" s="556">
        <v>0</v>
      </c>
      <c r="Q31" s="556">
        <f t="shared" si="5"/>
        <v>0</v>
      </c>
      <c r="R31" s="556"/>
      <c r="S31" s="556"/>
      <c r="T31" s="556"/>
      <c r="U31" s="556"/>
      <c r="V31" s="556"/>
      <c r="W31" s="556"/>
      <c r="X31" s="556"/>
      <c r="Y31" s="556"/>
      <c r="Z31" s="556">
        <f t="shared" si="6"/>
        <v>0</v>
      </c>
    </row>
    <row r="32" spans="1:26" s="26" customFormat="1" x14ac:dyDescent="0.25">
      <c r="A32" s="588">
        <v>22</v>
      </c>
      <c r="B32" s="604" t="s">
        <v>24</v>
      </c>
      <c r="C32" s="30" t="s">
        <v>25</v>
      </c>
      <c r="D32" s="556">
        <v>307</v>
      </c>
      <c r="E32" s="556">
        <v>0</v>
      </c>
      <c r="F32" s="556">
        <v>45</v>
      </c>
      <c r="G32" s="556">
        <f t="shared" si="3"/>
        <v>0</v>
      </c>
      <c r="H32" s="556">
        <v>0</v>
      </c>
      <c r="I32" s="556">
        <v>0</v>
      </c>
      <c r="J32" s="556">
        <v>0</v>
      </c>
      <c r="K32" s="556">
        <f t="shared" si="4"/>
        <v>352</v>
      </c>
      <c r="L32" s="556">
        <v>0</v>
      </c>
      <c r="M32" s="556">
        <v>0</v>
      </c>
      <c r="N32" s="556">
        <v>0</v>
      </c>
      <c r="O32" s="556">
        <v>0</v>
      </c>
      <c r="P32" s="556">
        <v>0</v>
      </c>
      <c r="Q32" s="556">
        <f>L32+M32+N32+O32+P32</f>
        <v>0</v>
      </c>
      <c r="R32" s="556"/>
      <c r="S32" s="556"/>
      <c r="T32" s="556"/>
      <c r="U32" s="556"/>
      <c r="V32" s="556"/>
      <c r="W32" s="556"/>
      <c r="X32" s="556"/>
      <c r="Y32" s="556"/>
      <c r="Z32" s="556">
        <f t="shared" si="6"/>
        <v>0</v>
      </c>
    </row>
    <row r="33" spans="1:26" x14ac:dyDescent="0.25">
      <c r="A33" s="588">
        <v>23</v>
      </c>
      <c r="B33" s="604" t="s">
        <v>88</v>
      </c>
      <c r="C33" s="30" t="s">
        <v>89</v>
      </c>
      <c r="D33" s="556">
        <v>0</v>
      </c>
      <c r="E33" s="556">
        <v>0</v>
      </c>
      <c r="F33" s="556">
        <v>0</v>
      </c>
      <c r="G33" s="556">
        <f t="shared" si="3"/>
        <v>0</v>
      </c>
      <c r="H33" s="556">
        <v>0</v>
      </c>
      <c r="I33" s="556">
        <v>0</v>
      </c>
      <c r="J33" s="556">
        <v>0</v>
      </c>
      <c r="K33" s="556">
        <f t="shared" si="4"/>
        <v>0</v>
      </c>
      <c r="L33" s="556">
        <v>0</v>
      </c>
      <c r="M33" s="556">
        <v>0</v>
      </c>
      <c r="N33" s="556">
        <v>0</v>
      </c>
      <c r="O33" s="556">
        <v>0</v>
      </c>
      <c r="P33" s="556">
        <v>0</v>
      </c>
      <c r="Q33" s="556">
        <f t="shared" ref="Q33:Q36" si="7">L33+M33+N33+O33+P33</f>
        <v>0</v>
      </c>
      <c r="R33" s="556"/>
      <c r="S33" s="556"/>
      <c r="T33" s="556"/>
      <c r="U33" s="556"/>
      <c r="V33" s="556"/>
      <c r="W33" s="556"/>
      <c r="X33" s="556"/>
      <c r="Y33" s="556"/>
      <c r="Z33" s="556">
        <f t="shared" si="6"/>
        <v>0</v>
      </c>
    </row>
    <row r="34" spans="1:26" x14ac:dyDescent="0.25">
      <c r="A34" s="606">
        <v>24</v>
      </c>
      <c r="B34" s="604" t="s">
        <v>90</v>
      </c>
      <c r="C34" s="30" t="s">
        <v>91</v>
      </c>
      <c r="D34" s="556">
        <v>0</v>
      </c>
      <c r="E34" s="556">
        <v>0</v>
      </c>
      <c r="F34" s="556">
        <v>0</v>
      </c>
      <c r="G34" s="556">
        <f t="shared" si="3"/>
        <v>0</v>
      </c>
      <c r="H34" s="556">
        <v>0</v>
      </c>
      <c r="I34" s="556">
        <v>0</v>
      </c>
      <c r="J34" s="556">
        <v>0</v>
      </c>
      <c r="K34" s="556">
        <f t="shared" si="4"/>
        <v>0</v>
      </c>
      <c r="L34" s="556">
        <v>0</v>
      </c>
      <c r="M34" s="556">
        <v>0</v>
      </c>
      <c r="N34" s="556">
        <v>0</v>
      </c>
      <c r="O34" s="556">
        <v>0</v>
      </c>
      <c r="P34" s="556">
        <v>0</v>
      </c>
      <c r="Q34" s="556">
        <f t="shared" si="7"/>
        <v>0</v>
      </c>
      <c r="R34" s="556"/>
      <c r="S34" s="556"/>
      <c r="T34" s="556"/>
      <c r="U34" s="556"/>
      <c r="V34" s="556"/>
      <c r="W34" s="556"/>
      <c r="X34" s="556"/>
      <c r="Y34" s="556"/>
      <c r="Z34" s="556">
        <f t="shared" si="6"/>
        <v>0</v>
      </c>
    </row>
    <row r="35" spans="1:26" s="148" customFormat="1" ht="25.5" customHeight="1" x14ac:dyDescent="0.25">
      <c r="A35" s="1132">
        <v>25</v>
      </c>
      <c r="B35" s="70" t="s">
        <v>92</v>
      </c>
      <c r="C35" s="144" t="s">
        <v>784</v>
      </c>
      <c r="D35" s="556">
        <v>7795</v>
      </c>
      <c r="E35" s="556">
        <v>208</v>
      </c>
      <c r="F35" s="556">
        <v>832</v>
      </c>
      <c r="G35" s="556">
        <f t="shared" si="3"/>
        <v>985</v>
      </c>
      <c r="H35" s="556">
        <v>849</v>
      </c>
      <c r="I35" s="556">
        <v>7</v>
      </c>
      <c r="J35" s="556">
        <v>129</v>
      </c>
      <c r="K35" s="556">
        <f t="shared" si="4"/>
        <v>9820</v>
      </c>
      <c r="L35" s="556">
        <v>479</v>
      </c>
      <c r="M35" s="556">
        <v>1907</v>
      </c>
      <c r="N35" s="556">
        <v>3126</v>
      </c>
      <c r="O35" s="556">
        <v>1564</v>
      </c>
      <c r="P35" s="556">
        <v>95</v>
      </c>
      <c r="Q35" s="556">
        <f t="shared" si="7"/>
        <v>7171</v>
      </c>
      <c r="R35" s="556"/>
      <c r="S35" s="556"/>
      <c r="T35" s="556"/>
      <c r="U35" s="556"/>
      <c r="V35" s="556"/>
      <c r="W35" s="556"/>
      <c r="X35" s="556"/>
      <c r="Y35" s="556"/>
      <c r="Z35" s="556">
        <f t="shared" si="6"/>
        <v>0</v>
      </c>
    </row>
    <row r="36" spans="1:26" s="148" customFormat="1" x14ac:dyDescent="0.25">
      <c r="A36" s="1134"/>
      <c r="B36" s="604" t="s">
        <v>94</v>
      </c>
      <c r="C36" s="30" t="s">
        <v>95</v>
      </c>
      <c r="D36" s="556">
        <v>140</v>
      </c>
      <c r="E36" s="556">
        <v>0</v>
      </c>
      <c r="F36" s="556">
        <v>0</v>
      </c>
      <c r="G36" s="556">
        <f t="shared" si="3"/>
        <v>0</v>
      </c>
      <c r="H36" s="556">
        <v>0</v>
      </c>
      <c r="I36" s="556">
        <v>0</v>
      </c>
      <c r="J36" s="556">
        <v>0</v>
      </c>
      <c r="K36" s="556">
        <f t="shared" si="4"/>
        <v>140</v>
      </c>
      <c r="L36" s="556">
        <v>0</v>
      </c>
      <c r="M36" s="556">
        <v>0</v>
      </c>
      <c r="N36" s="556">
        <v>0</v>
      </c>
      <c r="O36" s="556">
        <v>0</v>
      </c>
      <c r="P36" s="556">
        <v>0</v>
      </c>
      <c r="Q36" s="556">
        <f t="shared" si="7"/>
        <v>0</v>
      </c>
      <c r="R36" s="556"/>
      <c r="S36" s="556"/>
      <c r="T36" s="556"/>
      <c r="U36" s="556"/>
      <c r="V36" s="556"/>
      <c r="W36" s="556"/>
      <c r="X36" s="556"/>
      <c r="Y36" s="556"/>
      <c r="Z36" s="556">
        <f t="shared" si="6"/>
        <v>0</v>
      </c>
    </row>
    <row r="37" spans="1:26" s="26" customFormat="1" x14ac:dyDescent="0.25">
      <c r="A37" s="588">
        <v>26</v>
      </c>
      <c r="B37" s="71" t="s">
        <v>96</v>
      </c>
      <c r="C37" s="30" t="s">
        <v>97</v>
      </c>
      <c r="D37" s="556">
        <v>0</v>
      </c>
      <c r="E37" s="556">
        <v>0</v>
      </c>
      <c r="F37" s="556">
        <v>0</v>
      </c>
      <c r="G37" s="556">
        <f t="shared" si="3"/>
        <v>0</v>
      </c>
      <c r="H37" s="556">
        <v>0</v>
      </c>
      <c r="I37" s="556">
        <v>0</v>
      </c>
      <c r="J37" s="556">
        <v>0</v>
      </c>
      <c r="K37" s="556">
        <f t="shared" si="4"/>
        <v>0</v>
      </c>
      <c r="L37" s="556">
        <v>0</v>
      </c>
      <c r="M37" s="556">
        <v>0</v>
      </c>
      <c r="N37" s="556">
        <v>0</v>
      </c>
      <c r="O37" s="556">
        <v>0</v>
      </c>
      <c r="P37" s="556">
        <v>0</v>
      </c>
      <c r="Q37" s="556">
        <f t="shared" si="5"/>
        <v>0</v>
      </c>
      <c r="R37" s="556"/>
      <c r="S37" s="556"/>
      <c r="T37" s="556"/>
      <c r="U37" s="556"/>
      <c r="V37" s="556"/>
      <c r="W37" s="556"/>
      <c r="X37" s="556"/>
      <c r="Y37" s="556"/>
      <c r="Z37" s="556">
        <f t="shared" si="6"/>
        <v>0</v>
      </c>
    </row>
    <row r="38" spans="1:26" s="26" customFormat="1" x14ac:dyDescent="0.25">
      <c r="A38" s="588">
        <v>27</v>
      </c>
      <c r="B38" s="71" t="s">
        <v>26</v>
      </c>
      <c r="C38" s="30" t="s">
        <v>27</v>
      </c>
      <c r="D38" s="556">
        <v>1789</v>
      </c>
      <c r="E38" s="556">
        <v>58</v>
      </c>
      <c r="F38" s="556">
        <v>260</v>
      </c>
      <c r="G38" s="556">
        <f t="shared" si="3"/>
        <v>392</v>
      </c>
      <c r="H38" s="556">
        <v>347</v>
      </c>
      <c r="I38" s="556">
        <v>1</v>
      </c>
      <c r="J38" s="556">
        <v>44</v>
      </c>
      <c r="K38" s="556">
        <f t="shared" si="4"/>
        <v>2499</v>
      </c>
      <c r="L38" s="556">
        <v>9</v>
      </c>
      <c r="M38" s="556">
        <v>132</v>
      </c>
      <c r="N38" s="556">
        <v>1904</v>
      </c>
      <c r="O38" s="556">
        <v>1289</v>
      </c>
      <c r="P38" s="556">
        <v>0</v>
      </c>
      <c r="Q38" s="556">
        <f t="shared" si="5"/>
        <v>3334</v>
      </c>
      <c r="R38" s="556"/>
      <c r="S38" s="556"/>
      <c r="T38" s="556"/>
      <c r="U38" s="556"/>
      <c r="V38" s="556"/>
      <c r="W38" s="556"/>
      <c r="X38" s="556"/>
      <c r="Y38" s="556"/>
      <c r="Z38" s="556">
        <f t="shared" si="6"/>
        <v>0</v>
      </c>
    </row>
    <row r="39" spans="1:26" s="26" customFormat="1" x14ac:dyDescent="0.25">
      <c r="A39" s="588">
        <v>28</v>
      </c>
      <c r="B39" s="70" t="s">
        <v>98</v>
      </c>
      <c r="C39" s="30" t="s">
        <v>99</v>
      </c>
      <c r="D39" s="556">
        <v>3152</v>
      </c>
      <c r="E39" s="556">
        <v>72</v>
      </c>
      <c r="F39" s="556">
        <v>383</v>
      </c>
      <c r="G39" s="556">
        <f t="shared" si="3"/>
        <v>426</v>
      </c>
      <c r="H39" s="556">
        <v>336</v>
      </c>
      <c r="I39" s="556">
        <v>30</v>
      </c>
      <c r="J39" s="556">
        <v>60</v>
      </c>
      <c r="K39" s="556">
        <f t="shared" si="4"/>
        <v>4033</v>
      </c>
      <c r="L39" s="556">
        <v>66</v>
      </c>
      <c r="M39" s="556">
        <v>690</v>
      </c>
      <c r="N39" s="556">
        <v>1163</v>
      </c>
      <c r="O39" s="556">
        <v>786</v>
      </c>
      <c r="P39" s="556">
        <v>0</v>
      </c>
      <c r="Q39" s="556">
        <f t="shared" si="5"/>
        <v>2705</v>
      </c>
      <c r="R39" s="556"/>
      <c r="S39" s="556"/>
      <c r="T39" s="556"/>
      <c r="U39" s="556"/>
      <c r="V39" s="556"/>
      <c r="W39" s="556"/>
      <c r="X39" s="556"/>
      <c r="Y39" s="556"/>
      <c r="Z39" s="556">
        <f t="shared" si="6"/>
        <v>0</v>
      </c>
    </row>
    <row r="40" spans="1:26" s="26" customFormat="1" x14ac:dyDescent="0.25">
      <c r="A40" s="588">
        <v>29</v>
      </c>
      <c r="B40" s="71" t="s">
        <v>100</v>
      </c>
      <c r="C40" s="30" t="s">
        <v>101</v>
      </c>
      <c r="D40" s="556">
        <v>505</v>
      </c>
      <c r="E40" s="556">
        <v>0</v>
      </c>
      <c r="F40" s="556">
        <v>73</v>
      </c>
      <c r="G40" s="556">
        <f t="shared" si="3"/>
        <v>0</v>
      </c>
      <c r="H40" s="556">
        <v>0</v>
      </c>
      <c r="I40" s="556">
        <v>0</v>
      </c>
      <c r="J40" s="556">
        <v>0</v>
      </c>
      <c r="K40" s="556">
        <f t="shared" si="4"/>
        <v>578</v>
      </c>
      <c r="L40" s="556">
        <v>0</v>
      </c>
      <c r="M40" s="556">
        <v>0</v>
      </c>
      <c r="N40" s="556">
        <v>0</v>
      </c>
      <c r="O40" s="556">
        <v>0</v>
      </c>
      <c r="P40" s="556">
        <v>0</v>
      </c>
      <c r="Q40" s="556">
        <f t="shared" si="5"/>
        <v>0</v>
      </c>
      <c r="R40" s="556"/>
      <c r="S40" s="556"/>
      <c r="T40" s="556"/>
      <c r="U40" s="556"/>
      <c r="V40" s="556"/>
      <c r="W40" s="556"/>
      <c r="X40" s="556"/>
      <c r="Y40" s="556"/>
      <c r="Z40" s="556">
        <f t="shared" si="6"/>
        <v>0</v>
      </c>
    </row>
    <row r="41" spans="1:26" s="148" customFormat="1" x14ac:dyDescent="0.25">
      <c r="A41" s="588">
        <v>30</v>
      </c>
      <c r="B41" s="604" t="s">
        <v>102</v>
      </c>
      <c r="C41" s="30" t="s">
        <v>103</v>
      </c>
      <c r="D41" s="556">
        <v>1820</v>
      </c>
      <c r="E41" s="556">
        <v>50</v>
      </c>
      <c r="F41" s="556">
        <v>265</v>
      </c>
      <c r="G41" s="556">
        <f t="shared" si="3"/>
        <v>231</v>
      </c>
      <c r="H41" s="556">
        <v>201</v>
      </c>
      <c r="I41" s="556">
        <v>15</v>
      </c>
      <c r="J41" s="556">
        <v>15</v>
      </c>
      <c r="K41" s="556">
        <f t="shared" si="4"/>
        <v>2366</v>
      </c>
      <c r="L41" s="556">
        <v>0</v>
      </c>
      <c r="M41" s="556">
        <v>0</v>
      </c>
      <c r="N41" s="556">
        <v>0</v>
      </c>
      <c r="O41" s="556">
        <v>0</v>
      </c>
      <c r="P41" s="556">
        <v>0</v>
      </c>
      <c r="Q41" s="556">
        <f t="shared" si="5"/>
        <v>0</v>
      </c>
      <c r="R41" s="556"/>
      <c r="S41" s="556"/>
      <c r="T41" s="556"/>
      <c r="U41" s="556"/>
      <c r="V41" s="556"/>
      <c r="W41" s="556"/>
      <c r="X41" s="556"/>
      <c r="Y41" s="556"/>
      <c r="Z41" s="556">
        <f t="shared" si="6"/>
        <v>0</v>
      </c>
    </row>
    <row r="42" spans="1:26" x14ac:dyDescent="0.25">
      <c r="A42" s="588">
        <v>31</v>
      </c>
      <c r="B42" s="71" t="s">
        <v>104</v>
      </c>
      <c r="C42" s="30" t="s">
        <v>105</v>
      </c>
      <c r="D42" s="556">
        <v>669</v>
      </c>
      <c r="E42" s="556">
        <v>0</v>
      </c>
      <c r="F42" s="556">
        <v>97</v>
      </c>
      <c r="G42" s="556">
        <f t="shared" si="3"/>
        <v>82</v>
      </c>
      <c r="H42" s="556">
        <v>57</v>
      </c>
      <c r="I42" s="556">
        <v>1</v>
      </c>
      <c r="J42" s="556">
        <v>24</v>
      </c>
      <c r="K42" s="556">
        <f t="shared" si="4"/>
        <v>848</v>
      </c>
      <c r="L42" s="556">
        <v>0</v>
      </c>
      <c r="M42" s="556">
        <v>0</v>
      </c>
      <c r="N42" s="556">
        <v>0</v>
      </c>
      <c r="O42" s="556">
        <v>0</v>
      </c>
      <c r="P42" s="556">
        <v>0</v>
      </c>
      <c r="Q42" s="556">
        <f t="shared" si="5"/>
        <v>0</v>
      </c>
      <c r="R42" s="556"/>
      <c r="S42" s="556"/>
      <c r="T42" s="556"/>
      <c r="U42" s="556"/>
      <c r="V42" s="556"/>
      <c r="W42" s="556"/>
      <c r="X42" s="556"/>
      <c r="Y42" s="556"/>
      <c r="Z42" s="556">
        <f t="shared" si="6"/>
        <v>0</v>
      </c>
    </row>
    <row r="43" spans="1:26" s="26" customFormat="1" x14ac:dyDescent="0.25">
      <c r="A43" s="588">
        <v>32</v>
      </c>
      <c r="B43" s="70" t="s">
        <v>106</v>
      </c>
      <c r="C43" s="30" t="s">
        <v>107</v>
      </c>
      <c r="D43" s="556">
        <v>1831</v>
      </c>
      <c r="E43" s="556">
        <v>48</v>
      </c>
      <c r="F43" s="556">
        <v>255</v>
      </c>
      <c r="G43" s="556">
        <f t="shared" si="3"/>
        <v>199</v>
      </c>
      <c r="H43" s="556">
        <v>188</v>
      </c>
      <c r="I43" s="556">
        <v>0</v>
      </c>
      <c r="J43" s="556">
        <v>11</v>
      </c>
      <c r="K43" s="556">
        <f t="shared" si="4"/>
        <v>2333</v>
      </c>
      <c r="L43" s="556">
        <v>0</v>
      </c>
      <c r="M43" s="556">
        <v>0</v>
      </c>
      <c r="N43" s="556">
        <v>0</v>
      </c>
      <c r="O43" s="556">
        <v>0</v>
      </c>
      <c r="P43" s="556">
        <v>0</v>
      </c>
      <c r="Q43" s="556">
        <f t="shared" si="5"/>
        <v>0</v>
      </c>
      <c r="R43" s="556"/>
      <c r="S43" s="556"/>
      <c r="T43" s="556"/>
      <c r="U43" s="556"/>
      <c r="V43" s="556"/>
      <c r="W43" s="556"/>
      <c r="X43" s="556"/>
      <c r="Y43" s="556"/>
      <c r="Z43" s="556">
        <f t="shared" si="6"/>
        <v>0</v>
      </c>
    </row>
    <row r="44" spans="1:26" s="26" customFormat="1" x14ac:dyDescent="0.25">
      <c r="A44" s="588">
        <v>33</v>
      </c>
      <c r="B44" s="589" t="s">
        <v>108</v>
      </c>
      <c r="C44" s="590" t="s">
        <v>109</v>
      </c>
      <c r="D44" s="556">
        <v>599</v>
      </c>
      <c r="E44" s="556">
        <v>16</v>
      </c>
      <c r="F44" s="556">
        <v>87</v>
      </c>
      <c r="G44" s="556">
        <f t="shared" si="3"/>
        <v>0</v>
      </c>
      <c r="H44" s="556">
        <v>0</v>
      </c>
      <c r="I44" s="556">
        <v>0</v>
      </c>
      <c r="J44" s="556">
        <v>0</v>
      </c>
      <c r="K44" s="556">
        <f t="shared" si="4"/>
        <v>702</v>
      </c>
      <c r="L44" s="556">
        <v>0</v>
      </c>
      <c r="M44" s="556">
        <v>0</v>
      </c>
      <c r="N44" s="556">
        <v>0</v>
      </c>
      <c r="O44" s="556">
        <v>0</v>
      </c>
      <c r="P44" s="556">
        <v>0</v>
      </c>
      <c r="Q44" s="556">
        <f t="shared" si="5"/>
        <v>0</v>
      </c>
      <c r="R44" s="556"/>
      <c r="S44" s="556"/>
      <c r="T44" s="556"/>
      <c r="U44" s="556"/>
      <c r="V44" s="556"/>
      <c r="W44" s="556"/>
      <c r="X44" s="556"/>
      <c r="Y44" s="556"/>
      <c r="Z44" s="556">
        <f t="shared" si="6"/>
        <v>0</v>
      </c>
    </row>
    <row r="45" spans="1:26" s="26" customFormat="1" x14ac:dyDescent="0.25">
      <c r="A45" s="588">
        <v>34</v>
      </c>
      <c r="B45" s="70" t="s">
        <v>110</v>
      </c>
      <c r="C45" s="30" t="s">
        <v>111</v>
      </c>
      <c r="D45" s="556">
        <v>385</v>
      </c>
      <c r="E45" s="556">
        <v>0</v>
      </c>
      <c r="F45" s="556">
        <v>0</v>
      </c>
      <c r="G45" s="556">
        <f t="shared" si="3"/>
        <v>0</v>
      </c>
      <c r="H45" s="556">
        <v>0</v>
      </c>
      <c r="I45" s="556">
        <v>0</v>
      </c>
      <c r="J45" s="556">
        <v>0</v>
      </c>
      <c r="K45" s="556">
        <f t="shared" si="4"/>
        <v>385</v>
      </c>
      <c r="L45" s="556">
        <v>0</v>
      </c>
      <c r="M45" s="556">
        <v>0</v>
      </c>
      <c r="N45" s="556">
        <v>0</v>
      </c>
      <c r="O45" s="556">
        <v>0</v>
      </c>
      <c r="P45" s="556">
        <v>0</v>
      </c>
      <c r="Q45" s="556">
        <f t="shared" si="5"/>
        <v>0</v>
      </c>
      <c r="R45" s="556"/>
      <c r="S45" s="556"/>
      <c r="T45" s="556"/>
      <c r="U45" s="556"/>
      <c r="V45" s="556"/>
      <c r="W45" s="556"/>
      <c r="X45" s="556"/>
      <c r="Y45" s="556"/>
      <c r="Z45" s="556">
        <f t="shared" si="6"/>
        <v>0</v>
      </c>
    </row>
    <row r="46" spans="1:26" x14ac:dyDescent="0.25">
      <c r="A46" s="588">
        <v>35</v>
      </c>
      <c r="B46" s="70" t="s">
        <v>112</v>
      </c>
      <c r="C46" s="30" t="s">
        <v>113</v>
      </c>
      <c r="D46" s="556">
        <v>684</v>
      </c>
      <c r="E46" s="556">
        <v>19</v>
      </c>
      <c r="F46" s="556">
        <v>99</v>
      </c>
      <c r="G46" s="556">
        <f t="shared" si="3"/>
        <v>88</v>
      </c>
      <c r="H46" s="556">
        <v>65</v>
      </c>
      <c r="I46" s="556">
        <v>1</v>
      </c>
      <c r="J46" s="556">
        <v>22</v>
      </c>
      <c r="K46" s="556">
        <f t="shared" si="4"/>
        <v>890</v>
      </c>
      <c r="L46" s="556">
        <v>0</v>
      </c>
      <c r="M46" s="556">
        <v>0</v>
      </c>
      <c r="N46" s="556">
        <v>0</v>
      </c>
      <c r="O46" s="556">
        <v>0</v>
      </c>
      <c r="P46" s="556">
        <v>0</v>
      </c>
      <c r="Q46" s="556">
        <f t="shared" si="5"/>
        <v>0</v>
      </c>
      <c r="R46" s="556"/>
      <c r="S46" s="556"/>
      <c r="T46" s="556"/>
      <c r="U46" s="556"/>
      <c r="V46" s="556"/>
      <c r="W46" s="556"/>
      <c r="X46" s="556"/>
      <c r="Y46" s="556"/>
      <c r="Z46" s="556">
        <f t="shared" si="6"/>
        <v>0</v>
      </c>
    </row>
    <row r="47" spans="1:26" s="26" customFormat="1" x14ac:dyDescent="0.25">
      <c r="A47" s="588">
        <v>36</v>
      </c>
      <c r="B47" s="604" t="s">
        <v>114</v>
      </c>
      <c r="C47" s="30" t="s">
        <v>115</v>
      </c>
      <c r="D47" s="556">
        <v>312</v>
      </c>
      <c r="E47" s="556">
        <v>0</v>
      </c>
      <c r="F47" s="556">
        <v>45</v>
      </c>
      <c r="G47" s="556">
        <f t="shared" si="3"/>
        <v>0</v>
      </c>
      <c r="H47" s="556">
        <v>0</v>
      </c>
      <c r="I47" s="556">
        <v>0</v>
      </c>
      <c r="J47" s="556">
        <v>0</v>
      </c>
      <c r="K47" s="556">
        <f t="shared" si="4"/>
        <v>357</v>
      </c>
      <c r="L47" s="556">
        <v>0</v>
      </c>
      <c r="M47" s="556">
        <v>0</v>
      </c>
      <c r="N47" s="556">
        <v>0</v>
      </c>
      <c r="O47" s="556">
        <v>0</v>
      </c>
      <c r="P47" s="556">
        <v>0</v>
      </c>
      <c r="Q47" s="556">
        <f t="shared" si="5"/>
        <v>0</v>
      </c>
      <c r="R47" s="556"/>
      <c r="S47" s="556"/>
      <c r="T47" s="556"/>
      <c r="U47" s="556"/>
      <c r="V47" s="556"/>
      <c r="W47" s="556"/>
      <c r="X47" s="556"/>
      <c r="Y47" s="556"/>
      <c r="Z47" s="556">
        <f t="shared" si="6"/>
        <v>0</v>
      </c>
    </row>
    <row r="48" spans="1:26" s="26" customFormat="1" x14ac:dyDescent="0.25">
      <c r="A48" s="588">
        <v>37</v>
      </c>
      <c r="B48" s="71" t="s">
        <v>116</v>
      </c>
      <c r="C48" s="30" t="s">
        <v>117</v>
      </c>
      <c r="D48" s="556">
        <v>450</v>
      </c>
      <c r="E48" s="556">
        <v>0</v>
      </c>
      <c r="F48" s="556">
        <v>65</v>
      </c>
      <c r="G48" s="556">
        <f t="shared" si="3"/>
        <v>0</v>
      </c>
      <c r="H48" s="556">
        <v>0</v>
      </c>
      <c r="I48" s="556">
        <v>0</v>
      </c>
      <c r="J48" s="556">
        <v>0</v>
      </c>
      <c r="K48" s="556">
        <f t="shared" si="4"/>
        <v>515</v>
      </c>
      <c r="L48" s="556">
        <v>8</v>
      </c>
      <c r="M48" s="556">
        <v>64</v>
      </c>
      <c r="N48" s="556">
        <v>160</v>
      </c>
      <c r="O48" s="556">
        <v>108</v>
      </c>
      <c r="P48" s="556">
        <v>0</v>
      </c>
      <c r="Q48" s="556">
        <f t="shared" si="5"/>
        <v>340</v>
      </c>
      <c r="R48" s="556"/>
      <c r="S48" s="556"/>
      <c r="T48" s="556"/>
      <c r="U48" s="556"/>
      <c r="V48" s="556"/>
      <c r="W48" s="556"/>
      <c r="X48" s="556"/>
      <c r="Y48" s="556"/>
      <c r="Z48" s="556">
        <f t="shared" si="6"/>
        <v>0</v>
      </c>
    </row>
    <row r="49" spans="1:26" s="26" customFormat="1" x14ac:dyDescent="0.25">
      <c r="A49" s="588">
        <v>38</v>
      </c>
      <c r="B49" s="604" t="s">
        <v>28</v>
      </c>
      <c r="C49" s="30" t="s">
        <v>29</v>
      </c>
      <c r="D49" s="556">
        <v>2603</v>
      </c>
      <c r="E49" s="556">
        <v>178</v>
      </c>
      <c r="F49" s="556">
        <v>340</v>
      </c>
      <c r="G49" s="556">
        <f t="shared" si="3"/>
        <v>1082</v>
      </c>
      <c r="H49" s="556">
        <v>922</v>
      </c>
      <c r="I49" s="556">
        <v>60</v>
      </c>
      <c r="J49" s="556">
        <v>100</v>
      </c>
      <c r="K49" s="556">
        <f t="shared" si="4"/>
        <v>4203</v>
      </c>
      <c r="L49" s="556">
        <v>44</v>
      </c>
      <c r="M49" s="556">
        <v>384</v>
      </c>
      <c r="N49" s="556">
        <v>1077</v>
      </c>
      <c r="O49" s="556">
        <v>697</v>
      </c>
      <c r="P49" s="556">
        <v>0</v>
      </c>
      <c r="Q49" s="556">
        <f t="shared" si="5"/>
        <v>2202</v>
      </c>
      <c r="R49" s="556"/>
      <c r="S49" s="556"/>
      <c r="T49" s="556"/>
      <c r="U49" s="556"/>
      <c r="V49" s="556"/>
      <c r="W49" s="556"/>
      <c r="X49" s="556"/>
      <c r="Y49" s="556"/>
      <c r="Z49" s="556">
        <f t="shared" si="6"/>
        <v>0</v>
      </c>
    </row>
    <row r="50" spans="1:26" s="26" customFormat="1" x14ac:dyDescent="0.25">
      <c r="A50" s="588">
        <v>39</v>
      </c>
      <c r="B50" s="70" t="s">
        <v>118</v>
      </c>
      <c r="C50" s="30" t="s">
        <v>119</v>
      </c>
      <c r="D50" s="556">
        <v>542</v>
      </c>
      <c r="E50" s="556">
        <v>0</v>
      </c>
      <c r="F50" s="556">
        <v>79</v>
      </c>
      <c r="G50" s="556">
        <f t="shared" si="3"/>
        <v>0</v>
      </c>
      <c r="H50" s="556">
        <v>0</v>
      </c>
      <c r="I50" s="556">
        <v>0</v>
      </c>
      <c r="J50" s="556">
        <v>0</v>
      </c>
      <c r="K50" s="556">
        <f t="shared" si="4"/>
        <v>621</v>
      </c>
      <c r="L50" s="556">
        <v>0</v>
      </c>
      <c r="M50" s="556">
        <v>0</v>
      </c>
      <c r="N50" s="556">
        <v>0</v>
      </c>
      <c r="O50" s="556">
        <v>0</v>
      </c>
      <c r="P50" s="556">
        <v>0</v>
      </c>
      <c r="Q50" s="556">
        <f t="shared" si="5"/>
        <v>0</v>
      </c>
      <c r="R50" s="556"/>
      <c r="S50" s="556"/>
      <c r="T50" s="556"/>
      <c r="U50" s="556"/>
      <c r="V50" s="556"/>
      <c r="W50" s="556"/>
      <c r="X50" s="556"/>
      <c r="Y50" s="556"/>
      <c r="Z50" s="556">
        <f t="shared" si="6"/>
        <v>0</v>
      </c>
    </row>
    <row r="51" spans="1:26" s="26" customFormat="1" x14ac:dyDescent="0.25">
      <c r="A51" s="588">
        <v>40</v>
      </c>
      <c r="B51" s="70" t="s">
        <v>120</v>
      </c>
      <c r="C51" s="30" t="s">
        <v>121</v>
      </c>
      <c r="D51" s="556">
        <v>1898</v>
      </c>
      <c r="E51" s="556">
        <v>52</v>
      </c>
      <c r="F51" s="556">
        <v>276</v>
      </c>
      <c r="G51" s="556">
        <f t="shared" si="3"/>
        <v>0</v>
      </c>
      <c r="H51" s="556">
        <v>0</v>
      </c>
      <c r="I51" s="556">
        <v>0</v>
      </c>
      <c r="J51" s="556">
        <v>0</v>
      </c>
      <c r="K51" s="556">
        <f t="shared" si="4"/>
        <v>2226</v>
      </c>
      <c r="L51" s="556">
        <v>95</v>
      </c>
      <c r="M51" s="556">
        <v>697</v>
      </c>
      <c r="N51" s="556">
        <v>1394</v>
      </c>
      <c r="O51" s="556">
        <v>1145</v>
      </c>
      <c r="P51" s="556">
        <v>0</v>
      </c>
      <c r="Q51" s="556">
        <f t="shared" si="5"/>
        <v>3331</v>
      </c>
      <c r="R51" s="556"/>
      <c r="S51" s="556"/>
      <c r="T51" s="556"/>
      <c r="U51" s="556"/>
      <c r="V51" s="556"/>
      <c r="W51" s="556"/>
      <c r="X51" s="556"/>
      <c r="Y51" s="556"/>
      <c r="Z51" s="556">
        <f t="shared" si="6"/>
        <v>0</v>
      </c>
    </row>
    <row r="52" spans="1:26" s="148" customFormat="1" x14ac:dyDescent="0.25">
      <c r="A52" s="588">
        <v>41</v>
      </c>
      <c r="B52" s="604" t="s">
        <v>122</v>
      </c>
      <c r="C52" s="30" t="s">
        <v>123</v>
      </c>
      <c r="D52" s="556">
        <v>415</v>
      </c>
      <c r="E52" s="556">
        <v>0</v>
      </c>
      <c r="F52" s="556">
        <v>60</v>
      </c>
      <c r="G52" s="556">
        <f t="shared" si="3"/>
        <v>0</v>
      </c>
      <c r="H52" s="556">
        <v>0</v>
      </c>
      <c r="I52" s="556">
        <v>0</v>
      </c>
      <c r="J52" s="556">
        <v>0</v>
      </c>
      <c r="K52" s="556">
        <f t="shared" si="4"/>
        <v>475</v>
      </c>
      <c r="L52" s="556">
        <v>0</v>
      </c>
      <c r="M52" s="556">
        <v>0</v>
      </c>
      <c r="N52" s="556">
        <v>0</v>
      </c>
      <c r="O52" s="556">
        <v>0</v>
      </c>
      <c r="P52" s="556">
        <v>0</v>
      </c>
      <c r="Q52" s="556">
        <f t="shared" si="5"/>
        <v>0</v>
      </c>
      <c r="R52" s="556"/>
      <c r="S52" s="556"/>
      <c r="T52" s="556"/>
      <c r="U52" s="556"/>
      <c r="V52" s="556"/>
      <c r="W52" s="556"/>
      <c r="X52" s="556"/>
      <c r="Y52" s="556"/>
      <c r="Z52" s="556">
        <f t="shared" si="6"/>
        <v>0</v>
      </c>
    </row>
    <row r="53" spans="1:26" s="26" customFormat="1" x14ac:dyDescent="0.25">
      <c r="A53" s="588">
        <v>42</v>
      </c>
      <c r="B53" s="71" t="s">
        <v>124</v>
      </c>
      <c r="C53" s="30" t="s">
        <v>125</v>
      </c>
      <c r="D53" s="556">
        <v>567</v>
      </c>
      <c r="E53" s="556">
        <v>16</v>
      </c>
      <c r="F53" s="556">
        <v>82</v>
      </c>
      <c r="G53" s="556">
        <f t="shared" si="3"/>
        <v>0</v>
      </c>
      <c r="H53" s="556">
        <v>0</v>
      </c>
      <c r="I53" s="556">
        <v>0</v>
      </c>
      <c r="J53" s="556">
        <v>0</v>
      </c>
      <c r="K53" s="556">
        <f t="shared" si="4"/>
        <v>665</v>
      </c>
      <c r="L53" s="556">
        <v>0</v>
      </c>
      <c r="M53" s="556">
        <v>0</v>
      </c>
      <c r="N53" s="556">
        <v>0</v>
      </c>
      <c r="O53" s="556">
        <v>0</v>
      </c>
      <c r="P53" s="556">
        <v>0</v>
      </c>
      <c r="Q53" s="556">
        <f t="shared" si="5"/>
        <v>0</v>
      </c>
      <c r="R53" s="556"/>
      <c r="S53" s="556"/>
      <c r="T53" s="556"/>
      <c r="U53" s="556"/>
      <c r="V53" s="556"/>
      <c r="W53" s="556"/>
      <c r="X53" s="556"/>
      <c r="Y53" s="556"/>
      <c r="Z53" s="556">
        <f t="shared" si="6"/>
        <v>0</v>
      </c>
    </row>
    <row r="54" spans="1:26" s="26" customFormat="1" x14ac:dyDescent="0.25">
      <c r="A54" s="588">
        <v>43</v>
      </c>
      <c r="B54" s="604" t="s">
        <v>126</v>
      </c>
      <c r="C54" s="30" t="s">
        <v>127</v>
      </c>
      <c r="D54" s="556">
        <v>664</v>
      </c>
      <c r="E54" s="556">
        <v>0</v>
      </c>
      <c r="F54" s="556">
        <v>97</v>
      </c>
      <c r="G54" s="556">
        <f t="shared" si="3"/>
        <v>85</v>
      </c>
      <c r="H54" s="556">
        <v>79</v>
      </c>
      <c r="I54" s="556">
        <v>1</v>
      </c>
      <c r="J54" s="556">
        <v>5</v>
      </c>
      <c r="K54" s="556">
        <f t="shared" si="4"/>
        <v>846</v>
      </c>
      <c r="L54" s="556">
        <v>0</v>
      </c>
      <c r="M54" s="556">
        <v>0</v>
      </c>
      <c r="N54" s="556">
        <v>0</v>
      </c>
      <c r="O54" s="556">
        <v>0</v>
      </c>
      <c r="P54" s="556">
        <v>0</v>
      </c>
      <c r="Q54" s="556">
        <f t="shared" si="5"/>
        <v>0</v>
      </c>
      <c r="R54" s="556"/>
      <c r="S54" s="556"/>
      <c r="T54" s="556"/>
      <c r="U54" s="556"/>
      <c r="V54" s="556"/>
      <c r="W54" s="556"/>
      <c r="X54" s="556"/>
      <c r="Y54" s="556"/>
      <c r="Z54" s="556">
        <f t="shared" si="6"/>
        <v>0</v>
      </c>
    </row>
    <row r="55" spans="1:26" s="26" customFormat="1" x14ac:dyDescent="0.25">
      <c r="A55" s="588">
        <v>44</v>
      </c>
      <c r="B55" s="71" t="s">
        <v>128</v>
      </c>
      <c r="C55" s="30" t="s">
        <v>129</v>
      </c>
      <c r="D55" s="556">
        <v>785</v>
      </c>
      <c r="E55" s="556">
        <v>22</v>
      </c>
      <c r="F55" s="556">
        <v>114</v>
      </c>
      <c r="G55" s="556">
        <f t="shared" si="3"/>
        <v>0</v>
      </c>
      <c r="H55" s="556">
        <v>0</v>
      </c>
      <c r="I55" s="556">
        <v>0</v>
      </c>
      <c r="J55" s="556">
        <v>0</v>
      </c>
      <c r="K55" s="556">
        <f t="shared" si="4"/>
        <v>921</v>
      </c>
      <c r="L55" s="556">
        <v>29</v>
      </c>
      <c r="M55" s="556">
        <v>410</v>
      </c>
      <c r="N55" s="556">
        <v>819</v>
      </c>
      <c r="O55" s="556">
        <v>213</v>
      </c>
      <c r="P55" s="556">
        <v>0</v>
      </c>
      <c r="Q55" s="556">
        <f t="shared" si="5"/>
        <v>1471</v>
      </c>
      <c r="R55" s="556"/>
      <c r="S55" s="556"/>
      <c r="T55" s="556"/>
      <c r="U55" s="556"/>
      <c r="V55" s="556"/>
      <c r="W55" s="556"/>
      <c r="X55" s="556"/>
      <c r="Y55" s="556"/>
      <c r="Z55" s="556">
        <f t="shared" si="6"/>
        <v>0</v>
      </c>
    </row>
    <row r="56" spans="1:26" s="26" customFormat="1" x14ac:dyDescent="0.25">
      <c r="A56" s="588">
        <v>45</v>
      </c>
      <c r="B56" s="604" t="s">
        <v>130</v>
      </c>
      <c r="C56" s="30" t="s">
        <v>131</v>
      </c>
      <c r="D56" s="556">
        <v>279</v>
      </c>
      <c r="E56" s="556">
        <v>8</v>
      </c>
      <c r="F56" s="556">
        <v>41</v>
      </c>
      <c r="G56" s="556">
        <f t="shared" si="3"/>
        <v>0</v>
      </c>
      <c r="H56" s="556">
        <v>0</v>
      </c>
      <c r="I56" s="556">
        <v>0</v>
      </c>
      <c r="J56" s="556">
        <v>0</v>
      </c>
      <c r="K56" s="556">
        <f t="shared" si="4"/>
        <v>328</v>
      </c>
      <c r="L56" s="556">
        <v>0</v>
      </c>
      <c r="M56" s="556">
        <v>0</v>
      </c>
      <c r="N56" s="556">
        <v>0</v>
      </c>
      <c r="O56" s="556">
        <v>0</v>
      </c>
      <c r="P56" s="556">
        <v>0</v>
      </c>
      <c r="Q56" s="556">
        <f t="shared" si="5"/>
        <v>0</v>
      </c>
      <c r="R56" s="556"/>
      <c r="S56" s="556"/>
      <c r="T56" s="556"/>
      <c r="U56" s="556"/>
      <c r="V56" s="556"/>
      <c r="W56" s="556"/>
      <c r="X56" s="556"/>
      <c r="Y56" s="556"/>
      <c r="Z56" s="556">
        <f t="shared" si="6"/>
        <v>0</v>
      </c>
    </row>
    <row r="57" spans="1:26" s="26" customFormat="1" x14ac:dyDescent="0.25">
      <c r="A57" s="588">
        <v>46</v>
      </c>
      <c r="B57" s="71" t="s">
        <v>132</v>
      </c>
      <c r="C57" s="30" t="s">
        <v>133</v>
      </c>
      <c r="D57" s="556">
        <v>511</v>
      </c>
      <c r="E57" s="556">
        <v>14</v>
      </c>
      <c r="F57" s="556">
        <v>74</v>
      </c>
      <c r="G57" s="556">
        <f t="shared" si="3"/>
        <v>0</v>
      </c>
      <c r="H57" s="556">
        <v>0</v>
      </c>
      <c r="I57" s="556">
        <v>0</v>
      </c>
      <c r="J57" s="556">
        <v>0</v>
      </c>
      <c r="K57" s="556">
        <f t="shared" si="4"/>
        <v>599</v>
      </c>
      <c r="L57" s="556">
        <v>0</v>
      </c>
      <c r="M57" s="556">
        <v>0</v>
      </c>
      <c r="N57" s="556">
        <v>0</v>
      </c>
      <c r="O57" s="556">
        <v>0</v>
      </c>
      <c r="P57" s="556">
        <v>0</v>
      </c>
      <c r="Q57" s="556">
        <f t="shared" si="5"/>
        <v>0</v>
      </c>
      <c r="R57" s="556"/>
      <c r="S57" s="556"/>
      <c r="T57" s="556"/>
      <c r="U57" s="556"/>
      <c r="V57" s="556"/>
      <c r="W57" s="556"/>
      <c r="X57" s="556"/>
      <c r="Y57" s="556"/>
      <c r="Z57" s="556">
        <f t="shared" si="6"/>
        <v>0</v>
      </c>
    </row>
    <row r="58" spans="1:26" s="26" customFormat="1" x14ac:dyDescent="0.25">
      <c r="A58" s="588">
        <v>47</v>
      </c>
      <c r="B58" s="604" t="s">
        <v>134</v>
      </c>
      <c r="C58" s="30" t="s">
        <v>135</v>
      </c>
      <c r="D58" s="556">
        <v>808</v>
      </c>
      <c r="E58" s="556">
        <v>0</v>
      </c>
      <c r="F58" s="556">
        <v>118</v>
      </c>
      <c r="G58" s="556">
        <f t="shared" si="3"/>
        <v>0</v>
      </c>
      <c r="H58" s="556">
        <v>0</v>
      </c>
      <c r="I58" s="556">
        <v>0</v>
      </c>
      <c r="J58" s="556">
        <v>0</v>
      </c>
      <c r="K58" s="556">
        <f t="shared" si="4"/>
        <v>926</v>
      </c>
      <c r="L58" s="556">
        <v>0</v>
      </c>
      <c r="M58" s="556">
        <v>0</v>
      </c>
      <c r="N58" s="556">
        <v>0</v>
      </c>
      <c r="O58" s="556">
        <v>0</v>
      </c>
      <c r="P58" s="556">
        <v>0</v>
      </c>
      <c r="Q58" s="556">
        <f t="shared" si="5"/>
        <v>0</v>
      </c>
      <c r="R58" s="556"/>
      <c r="S58" s="556"/>
      <c r="T58" s="556"/>
      <c r="U58" s="556"/>
      <c r="V58" s="556"/>
      <c r="W58" s="556"/>
      <c r="X58" s="556"/>
      <c r="Y58" s="556"/>
      <c r="Z58" s="556">
        <f t="shared" si="6"/>
        <v>0</v>
      </c>
    </row>
    <row r="59" spans="1:26" s="26" customFormat="1" x14ac:dyDescent="0.25">
      <c r="A59" s="588">
        <v>48</v>
      </c>
      <c r="B59" s="604" t="s">
        <v>136</v>
      </c>
      <c r="C59" s="30" t="s">
        <v>137</v>
      </c>
      <c r="D59" s="556">
        <v>2331</v>
      </c>
      <c r="E59" s="556">
        <v>0</v>
      </c>
      <c r="F59" s="556">
        <v>0</v>
      </c>
      <c r="G59" s="556">
        <f t="shared" si="3"/>
        <v>0</v>
      </c>
      <c r="H59" s="556">
        <v>0</v>
      </c>
      <c r="I59" s="556">
        <v>0</v>
      </c>
      <c r="J59" s="556">
        <v>0</v>
      </c>
      <c r="K59" s="556">
        <f t="shared" si="4"/>
        <v>2331</v>
      </c>
      <c r="L59" s="556">
        <v>63</v>
      </c>
      <c r="M59" s="556">
        <v>474</v>
      </c>
      <c r="N59" s="556">
        <v>1255</v>
      </c>
      <c r="O59" s="556">
        <v>686</v>
      </c>
      <c r="P59" s="556">
        <v>0</v>
      </c>
      <c r="Q59" s="556">
        <f t="shared" si="5"/>
        <v>2478</v>
      </c>
      <c r="R59" s="556"/>
      <c r="S59" s="556"/>
      <c r="T59" s="556"/>
      <c r="U59" s="556"/>
      <c r="V59" s="556"/>
      <c r="W59" s="556"/>
      <c r="X59" s="556"/>
      <c r="Y59" s="556"/>
      <c r="Z59" s="556">
        <f t="shared" si="6"/>
        <v>0</v>
      </c>
    </row>
    <row r="60" spans="1:26" s="26" customFormat="1" x14ac:dyDescent="0.25">
      <c r="A60" s="588">
        <v>49</v>
      </c>
      <c r="B60" s="604" t="s">
        <v>138</v>
      </c>
      <c r="C60" s="30" t="s">
        <v>139</v>
      </c>
      <c r="D60" s="556">
        <v>574</v>
      </c>
      <c r="E60" s="556">
        <v>16</v>
      </c>
      <c r="F60" s="556">
        <v>84</v>
      </c>
      <c r="G60" s="556">
        <f t="shared" si="3"/>
        <v>74</v>
      </c>
      <c r="H60" s="556">
        <v>68</v>
      </c>
      <c r="I60" s="556">
        <v>1</v>
      </c>
      <c r="J60" s="556">
        <v>5</v>
      </c>
      <c r="K60" s="556">
        <f t="shared" si="4"/>
        <v>748</v>
      </c>
      <c r="L60" s="556">
        <v>0</v>
      </c>
      <c r="M60" s="556">
        <v>0</v>
      </c>
      <c r="N60" s="556">
        <v>0</v>
      </c>
      <c r="O60" s="556">
        <v>0</v>
      </c>
      <c r="P60" s="556">
        <v>0</v>
      </c>
      <c r="Q60" s="556">
        <f t="shared" si="5"/>
        <v>0</v>
      </c>
      <c r="R60" s="556"/>
      <c r="S60" s="556"/>
      <c r="T60" s="556"/>
      <c r="U60" s="556"/>
      <c r="V60" s="556"/>
      <c r="W60" s="556"/>
      <c r="X60" s="556"/>
      <c r="Y60" s="556"/>
      <c r="Z60" s="556">
        <f t="shared" si="6"/>
        <v>0</v>
      </c>
    </row>
    <row r="61" spans="1:26" s="26" customFormat="1" x14ac:dyDescent="0.25">
      <c r="A61" s="588">
        <v>50</v>
      </c>
      <c r="B61" s="604" t="s">
        <v>140</v>
      </c>
      <c r="C61" s="30" t="s">
        <v>141</v>
      </c>
      <c r="D61" s="556">
        <v>427</v>
      </c>
      <c r="E61" s="556">
        <v>0</v>
      </c>
      <c r="F61" s="556">
        <v>62</v>
      </c>
      <c r="G61" s="556">
        <f t="shared" si="3"/>
        <v>0</v>
      </c>
      <c r="H61" s="556">
        <v>0</v>
      </c>
      <c r="I61" s="556">
        <v>0</v>
      </c>
      <c r="J61" s="556">
        <v>0</v>
      </c>
      <c r="K61" s="556">
        <f t="shared" si="4"/>
        <v>489</v>
      </c>
      <c r="L61" s="556">
        <v>0</v>
      </c>
      <c r="M61" s="556">
        <v>0</v>
      </c>
      <c r="N61" s="556">
        <v>0</v>
      </c>
      <c r="O61" s="556">
        <v>0</v>
      </c>
      <c r="P61" s="556">
        <v>0</v>
      </c>
      <c r="Q61" s="556">
        <f t="shared" si="5"/>
        <v>0</v>
      </c>
      <c r="R61" s="556"/>
      <c r="S61" s="556"/>
      <c r="T61" s="556"/>
      <c r="U61" s="556"/>
      <c r="V61" s="556"/>
      <c r="W61" s="556"/>
      <c r="X61" s="556"/>
      <c r="Y61" s="556"/>
      <c r="Z61" s="556">
        <f t="shared" si="6"/>
        <v>0</v>
      </c>
    </row>
    <row r="62" spans="1:26" s="26" customFormat="1" x14ac:dyDescent="0.25">
      <c r="A62" s="588">
        <v>51</v>
      </c>
      <c r="B62" s="71" t="s">
        <v>142</v>
      </c>
      <c r="C62" s="30" t="s">
        <v>143</v>
      </c>
      <c r="D62" s="556">
        <v>560</v>
      </c>
      <c r="E62" s="556">
        <v>0</v>
      </c>
      <c r="F62" s="556">
        <v>0</v>
      </c>
      <c r="G62" s="556">
        <f t="shared" si="3"/>
        <v>0</v>
      </c>
      <c r="H62" s="556">
        <v>0</v>
      </c>
      <c r="I62" s="556">
        <v>0</v>
      </c>
      <c r="J62" s="556">
        <v>0</v>
      </c>
      <c r="K62" s="556">
        <f t="shared" si="4"/>
        <v>560</v>
      </c>
      <c r="L62" s="556">
        <v>0</v>
      </c>
      <c r="M62" s="556">
        <v>0</v>
      </c>
      <c r="N62" s="556">
        <v>0</v>
      </c>
      <c r="O62" s="556">
        <v>0</v>
      </c>
      <c r="P62" s="556">
        <v>0</v>
      </c>
      <c r="Q62" s="556">
        <f t="shared" si="5"/>
        <v>0</v>
      </c>
      <c r="R62" s="556"/>
      <c r="S62" s="556"/>
      <c r="T62" s="556"/>
      <c r="U62" s="556"/>
      <c r="V62" s="556"/>
      <c r="W62" s="556"/>
      <c r="X62" s="556"/>
      <c r="Y62" s="556"/>
      <c r="Z62" s="556">
        <f t="shared" si="6"/>
        <v>0</v>
      </c>
    </row>
    <row r="63" spans="1:26" s="26" customFormat="1" x14ac:dyDescent="0.25">
      <c r="A63" s="588">
        <v>52</v>
      </c>
      <c r="B63" s="604" t="s">
        <v>144</v>
      </c>
      <c r="C63" s="30" t="s">
        <v>145</v>
      </c>
      <c r="D63" s="556">
        <v>0</v>
      </c>
      <c r="E63" s="556">
        <v>0</v>
      </c>
      <c r="F63" s="556">
        <v>0</v>
      </c>
      <c r="G63" s="556">
        <f t="shared" si="3"/>
        <v>0</v>
      </c>
      <c r="H63" s="556">
        <v>0</v>
      </c>
      <c r="I63" s="556">
        <v>0</v>
      </c>
      <c r="J63" s="556">
        <v>0</v>
      </c>
      <c r="K63" s="556">
        <f t="shared" si="4"/>
        <v>0</v>
      </c>
      <c r="L63" s="556">
        <v>0</v>
      </c>
      <c r="M63" s="556">
        <v>0</v>
      </c>
      <c r="N63" s="556">
        <v>0</v>
      </c>
      <c r="O63" s="556">
        <v>0</v>
      </c>
      <c r="P63" s="556">
        <v>0</v>
      </c>
      <c r="Q63" s="556">
        <f t="shared" si="5"/>
        <v>0</v>
      </c>
      <c r="R63" s="556"/>
      <c r="S63" s="556"/>
      <c r="T63" s="556"/>
      <c r="U63" s="556"/>
      <c r="V63" s="556"/>
      <c r="W63" s="556"/>
      <c r="X63" s="556"/>
      <c r="Y63" s="556"/>
      <c r="Z63" s="556">
        <f t="shared" si="6"/>
        <v>0</v>
      </c>
    </row>
    <row r="64" spans="1:26" s="26" customFormat="1" x14ac:dyDescent="0.25">
      <c r="A64" s="588">
        <v>53</v>
      </c>
      <c r="B64" s="604" t="s">
        <v>146</v>
      </c>
      <c r="C64" s="30" t="s">
        <v>147</v>
      </c>
      <c r="D64" s="556">
        <v>0</v>
      </c>
      <c r="E64" s="556">
        <v>0</v>
      </c>
      <c r="F64" s="556">
        <v>0</v>
      </c>
      <c r="G64" s="556">
        <f t="shared" si="3"/>
        <v>0</v>
      </c>
      <c r="H64" s="556">
        <v>0</v>
      </c>
      <c r="I64" s="556">
        <v>0</v>
      </c>
      <c r="J64" s="556">
        <v>0</v>
      </c>
      <c r="K64" s="556">
        <f t="shared" si="4"/>
        <v>0</v>
      </c>
      <c r="L64" s="556">
        <v>0</v>
      </c>
      <c r="M64" s="556">
        <v>0</v>
      </c>
      <c r="N64" s="556">
        <v>0</v>
      </c>
      <c r="O64" s="556">
        <v>0</v>
      </c>
      <c r="P64" s="556">
        <v>0</v>
      </c>
      <c r="Q64" s="556">
        <f t="shared" si="5"/>
        <v>0</v>
      </c>
      <c r="R64" s="556"/>
      <c r="S64" s="556"/>
      <c r="T64" s="556"/>
      <c r="U64" s="556"/>
      <c r="V64" s="556"/>
      <c r="W64" s="556"/>
      <c r="X64" s="556"/>
      <c r="Y64" s="556"/>
      <c r="Z64" s="556">
        <f t="shared" si="6"/>
        <v>0</v>
      </c>
    </row>
    <row r="65" spans="1:26" s="26" customFormat="1" x14ac:dyDescent="0.25">
      <c r="A65" s="588">
        <v>54</v>
      </c>
      <c r="B65" s="604" t="s">
        <v>148</v>
      </c>
      <c r="C65" s="30" t="s">
        <v>149</v>
      </c>
      <c r="D65" s="556">
        <v>0</v>
      </c>
      <c r="E65" s="556">
        <v>0</v>
      </c>
      <c r="F65" s="556">
        <v>0</v>
      </c>
      <c r="G65" s="556">
        <f t="shared" si="3"/>
        <v>0</v>
      </c>
      <c r="H65" s="556">
        <v>0</v>
      </c>
      <c r="I65" s="556">
        <v>0</v>
      </c>
      <c r="J65" s="556">
        <v>0</v>
      </c>
      <c r="K65" s="556">
        <f t="shared" si="4"/>
        <v>0</v>
      </c>
      <c r="L65" s="556">
        <v>0</v>
      </c>
      <c r="M65" s="556">
        <v>0</v>
      </c>
      <c r="N65" s="556">
        <v>0</v>
      </c>
      <c r="O65" s="556">
        <v>0</v>
      </c>
      <c r="P65" s="556">
        <v>0</v>
      </c>
      <c r="Q65" s="556">
        <f t="shared" si="5"/>
        <v>0</v>
      </c>
      <c r="R65" s="556"/>
      <c r="S65" s="556"/>
      <c r="T65" s="556"/>
      <c r="U65" s="556"/>
      <c r="V65" s="556"/>
      <c r="W65" s="556"/>
      <c r="X65" s="556"/>
      <c r="Y65" s="556"/>
      <c r="Z65" s="556">
        <f t="shared" si="6"/>
        <v>0</v>
      </c>
    </row>
    <row r="66" spans="1:26" s="26" customFormat="1" x14ac:dyDescent="0.25">
      <c r="A66" s="588">
        <v>55</v>
      </c>
      <c r="B66" s="71" t="s">
        <v>150</v>
      </c>
      <c r="C66" s="30" t="s">
        <v>151</v>
      </c>
      <c r="D66" s="556">
        <v>329</v>
      </c>
      <c r="E66" s="556">
        <v>0</v>
      </c>
      <c r="F66" s="556">
        <v>0</v>
      </c>
      <c r="G66" s="556">
        <f t="shared" si="3"/>
        <v>0</v>
      </c>
      <c r="H66" s="556">
        <v>0</v>
      </c>
      <c r="I66" s="556">
        <v>0</v>
      </c>
      <c r="J66" s="556">
        <v>0</v>
      </c>
      <c r="K66" s="556">
        <f t="shared" si="4"/>
        <v>329</v>
      </c>
      <c r="L66" s="556">
        <v>0</v>
      </c>
      <c r="M66" s="556">
        <v>0</v>
      </c>
      <c r="N66" s="556">
        <v>0</v>
      </c>
      <c r="O66" s="556">
        <v>0</v>
      </c>
      <c r="P66" s="556">
        <v>0</v>
      </c>
      <c r="Q66" s="556">
        <f t="shared" si="5"/>
        <v>0</v>
      </c>
      <c r="R66" s="556"/>
      <c r="S66" s="556"/>
      <c r="T66" s="556"/>
      <c r="U66" s="556"/>
      <c r="V66" s="556"/>
      <c r="W66" s="556"/>
      <c r="X66" s="556"/>
      <c r="Y66" s="556"/>
      <c r="Z66" s="556">
        <f t="shared" si="6"/>
        <v>0</v>
      </c>
    </row>
    <row r="67" spans="1:26" s="26" customFormat="1" x14ac:dyDescent="0.25">
      <c r="A67" s="588">
        <v>56</v>
      </c>
      <c r="B67" s="71" t="s">
        <v>154</v>
      </c>
      <c r="C67" s="30" t="s">
        <v>155</v>
      </c>
      <c r="D67" s="556">
        <v>1298</v>
      </c>
      <c r="E67" s="556">
        <v>0</v>
      </c>
      <c r="F67" s="556">
        <v>0</v>
      </c>
      <c r="G67" s="556">
        <f t="shared" si="3"/>
        <v>0</v>
      </c>
      <c r="H67" s="556">
        <v>0</v>
      </c>
      <c r="I67" s="556">
        <v>0</v>
      </c>
      <c r="J67" s="556">
        <v>0</v>
      </c>
      <c r="K67" s="556">
        <f t="shared" si="4"/>
        <v>1298</v>
      </c>
      <c r="L67" s="556">
        <v>0</v>
      </c>
      <c r="M67" s="556">
        <v>0</v>
      </c>
      <c r="N67" s="556">
        <v>0</v>
      </c>
      <c r="O67" s="556">
        <v>0</v>
      </c>
      <c r="P67" s="556">
        <v>0</v>
      </c>
      <c r="Q67" s="556">
        <f t="shared" si="5"/>
        <v>0</v>
      </c>
      <c r="R67" s="556"/>
      <c r="S67" s="556"/>
      <c r="T67" s="556"/>
      <c r="U67" s="556"/>
      <c r="V67" s="556"/>
      <c r="W67" s="556"/>
      <c r="X67" s="556"/>
      <c r="Y67" s="556"/>
      <c r="Z67" s="556">
        <f t="shared" si="6"/>
        <v>0</v>
      </c>
    </row>
    <row r="68" spans="1:26" s="26" customFormat="1" ht="24" x14ac:dyDescent="0.25">
      <c r="A68" s="588">
        <v>57</v>
      </c>
      <c r="B68" s="70" t="s">
        <v>158</v>
      </c>
      <c r="C68" s="30" t="s">
        <v>159</v>
      </c>
      <c r="D68" s="556">
        <v>0</v>
      </c>
      <c r="E68" s="556">
        <v>0</v>
      </c>
      <c r="F68" s="556">
        <v>0</v>
      </c>
      <c r="G68" s="556">
        <f t="shared" si="3"/>
        <v>0</v>
      </c>
      <c r="H68" s="556">
        <v>0</v>
      </c>
      <c r="I68" s="556">
        <v>0</v>
      </c>
      <c r="J68" s="556">
        <v>0</v>
      </c>
      <c r="K68" s="556">
        <f t="shared" si="4"/>
        <v>0</v>
      </c>
      <c r="L68" s="556">
        <v>0</v>
      </c>
      <c r="M68" s="556">
        <v>0</v>
      </c>
      <c r="N68" s="556">
        <v>0</v>
      </c>
      <c r="O68" s="556">
        <v>0</v>
      </c>
      <c r="P68" s="556">
        <v>0</v>
      </c>
      <c r="Q68" s="556">
        <f t="shared" si="5"/>
        <v>0</v>
      </c>
      <c r="R68" s="556"/>
      <c r="S68" s="556"/>
      <c r="T68" s="556"/>
      <c r="U68" s="556"/>
      <c r="V68" s="556"/>
      <c r="W68" s="556"/>
      <c r="X68" s="556"/>
      <c r="Y68" s="556"/>
      <c r="Z68" s="556">
        <f t="shared" si="6"/>
        <v>0</v>
      </c>
    </row>
    <row r="69" spans="1:26" s="26" customFormat="1" ht="24" x14ac:dyDescent="0.25">
      <c r="A69" s="588">
        <v>58</v>
      </c>
      <c r="B69" s="70" t="s">
        <v>160</v>
      </c>
      <c r="C69" s="30" t="s">
        <v>161</v>
      </c>
      <c r="D69" s="556">
        <v>0</v>
      </c>
      <c r="E69" s="556">
        <v>0</v>
      </c>
      <c r="F69" s="556">
        <v>0</v>
      </c>
      <c r="G69" s="556">
        <f t="shared" si="3"/>
        <v>0</v>
      </c>
      <c r="H69" s="556">
        <v>0</v>
      </c>
      <c r="I69" s="556">
        <v>0</v>
      </c>
      <c r="J69" s="556">
        <v>0</v>
      </c>
      <c r="K69" s="556">
        <f t="shared" si="4"/>
        <v>0</v>
      </c>
      <c r="L69" s="556">
        <v>0</v>
      </c>
      <c r="M69" s="556">
        <v>0</v>
      </c>
      <c r="N69" s="556">
        <v>0</v>
      </c>
      <c r="O69" s="556">
        <v>0</v>
      </c>
      <c r="P69" s="556">
        <v>0</v>
      </c>
      <c r="Q69" s="556">
        <f t="shared" si="5"/>
        <v>0</v>
      </c>
      <c r="R69" s="556"/>
      <c r="S69" s="556"/>
      <c r="T69" s="556"/>
      <c r="U69" s="556"/>
      <c r="V69" s="556"/>
      <c r="W69" s="556"/>
      <c r="X69" s="556"/>
      <c r="Y69" s="556"/>
      <c r="Z69" s="556">
        <f t="shared" si="6"/>
        <v>0</v>
      </c>
    </row>
    <row r="70" spans="1:26" s="26" customFormat="1" x14ac:dyDescent="0.25">
      <c r="A70" s="588">
        <v>59</v>
      </c>
      <c r="B70" s="71" t="s">
        <v>162</v>
      </c>
      <c r="C70" s="30" t="s">
        <v>163</v>
      </c>
      <c r="D70" s="556">
        <v>2436</v>
      </c>
      <c r="E70" s="556">
        <v>0</v>
      </c>
      <c r="F70" s="556">
        <v>354</v>
      </c>
      <c r="G70" s="556">
        <f t="shared" si="3"/>
        <v>0</v>
      </c>
      <c r="H70" s="556">
        <v>0</v>
      </c>
      <c r="I70" s="556">
        <v>0</v>
      </c>
      <c r="J70" s="556">
        <v>0</v>
      </c>
      <c r="K70" s="556">
        <f t="shared" si="4"/>
        <v>2790</v>
      </c>
      <c r="L70" s="556">
        <v>0</v>
      </c>
      <c r="M70" s="556">
        <v>0</v>
      </c>
      <c r="N70" s="556">
        <v>0</v>
      </c>
      <c r="O70" s="556">
        <v>0</v>
      </c>
      <c r="P70" s="556">
        <v>0</v>
      </c>
      <c r="Q70" s="556">
        <f t="shared" si="5"/>
        <v>0</v>
      </c>
      <c r="R70" s="556"/>
      <c r="S70" s="556"/>
      <c r="T70" s="556"/>
      <c r="U70" s="556"/>
      <c r="V70" s="556"/>
      <c r="W70" s="556"/>
      <c r="X70" s="556"/>
      <c r="Y70" s="556"/>
      <c r="Z70" s="556">
        <f t="shared" si="6"/>
        <v>0</v>
      </c>
    </row>
    <row r="71" spans="1:26" s="26" customFormat="1" x14ac:dyDescent="0.25">
      <c r="A71" s="588">
        <v>60</v>
      </c>
      <c r="B71" s="71" t="s">
        <v>164</v>
      </c>
      <c r="C71" s="30" t="s">
        <v>165</v>
      </c>
      <c r="D71" s="556">
        <v>1411</v>
      </c>
      <c r="E71" s="556">
        <v>0</v>
      </c>
      <c r="F71" s="556">
        <v>0</v>
      </c>
      <c r="G71" s="556">
        <f t="shared" si="3"/>
        <v>0</v>
      </c>
      <c r="H71" s="556">
        <v>0</v>
      </c>
      <c r="I71" s="556">
        <v>0</v>
      </c>
      <c r="J71" s="556">
        <v>0</v>
      </c>
      <c r="K71" s="556">
        <f t="shared" si="4"/>
        <v>1411</v>
      </c>
      <c r="L71" s="556">
        <v>0</v>
      </c>
      <c r="M71" s="556">
        <v>0</v>
      </c>
      <c r="N71" s="556">
        <v>0</v>
      </c>
      <c r="O71" s="556">
        <v>0</v>
      </c>
      <c r="P71" s="556">
        <v>0</v>
      </c>
      <c r="Q71" s="556">
        <f t="shared" si="5"/>
        <v>0</v>
      </c>
      <c r="R71" s="556"/>
      <c r="S71" s="556"/>
      <c r="T71" s="556"/>
      <c r="U71" s="556"/>
      <c r="V71" s="556"/>
      <c r="W71" s="556"/>
      <c r="X71" s="556"/>
      <c r="Y71" s="556"/>
      <c r="Z71" s="556">
        <f t="shared" si="6"/>
        <v>0</v>
      </c>
    </row>
    <row r="72" spans="1:26" s="26" customFormat="1" x14ac:dyDescent="0.25">
      <c r="A72" s="588">
        <v>61</v>
      </c>
      <c r="B72" s="71" t="s">
        <v>166</v>
      </c>
      <c r="C72" s="30" t="s">
        <v>167</v>
      </c>
      <c r="D72" s="556">
        <v>3239</v>
      </c>
      <c r="E72" s="556">
        <v>0</v>
      </c>
      <c r="F72" s="556">
        <v>471</v>
      </c>
      <c r="G72" s="556">
        <f t="shared" si="3"/>
        <v>0</v>
      </c>
      <c r="H72" s="556">
        <v>0</v>
      </c>
      <c r="I72" s="556">
        <v>0</v>
      </c>
      <c r="J72" s="556">
        <v>0</v>
      </c>
      <c r="K72" s="556">
        <f t="shared" si="4"/>
        <v>3710</v>
      </c>
      <c r="L72" s="556">
        <v>0</v>
      </c>
      <c r="M72" s="556">
        <v>0</v>
      </c>
      <c r="N72" s="556">
        <v>0</v>
      </c>
      <c r="O72" s="556">
        <v>0</v>
      </c>
      <c r="P72" s="556">
        <v>0</v>
      </c>
      <c r="Q72" s="556">
        <f t="shared" si="5"/>
        <v>0</v>
      </c>
      <c r="R72" s="556"/>
      <c r="S72" s="556"/>
      <c r="T72" s="556"/>
      <c r="U72" s="556"/>
      <c r="V72" s="556"/>
      <c r="W72" s="556"/>
      <c r="X72" s="556"/>
      <c r="Y72" s="556"/>
      <c r="Z72" s="556">
        <f t="shared" si="6"/>
        <v>0</v>
      </c>
    </row>
    <row r="73" spans="1:26" s="26" customFormat="1" ht="26.25" customHeight="1" x14ac:dyDescent="0.25">
      <c r="A73" s="1132">
        <v>62</v>
      </c>
      <c r="B73" s="70" t="s">
        <v>170</v>
      </c>
      <c r="C73" s="144" t="s">
        <v>785</v>
      </c>
      <c r="D73" s="556">
        <v>0</v>
      </c>
      <c r="E73" s="556">
        <v>0</v>
      </c>
      <c r="F73" s="556">
        <v>0</v>
      </c>
      <c r="G73" s="556">
        <f t="shared" ref="G73:G139" si="8">H73+I73+J73</f>
        <v>0</v>
      </c>
      <c r="H73" s="556">
        <v>0</v>
      </c>
      <c r="I73" s="556">
        <v>0</v>
      </c>
      <c r="J73" s="556">
        <v>0</v>
      </c>
      <c r="K73" s="556">
        <f t="shared" ref="K73:K139" si="9">D73+E73+F73+G73</f>
        <v>0</v>
      </c>
      <c r="L73" s="556">
        <v>0</v>
      </c>
      <c r="M73" s="556">
        <v>0</v>
      </c>
      <c r="N73" s="556">
        <v>0</v>
      </c>
      <c r="O73" s="556">
        <v>0</v>
      </c>
      <c r="P73" s="556">
        <v>0</v>
      </c>
      <c r="Q73" s="556">
        <f t="shared" ref="Q73:Q139" si="10">L73+M73+N73+O73+P73</f>
        <v>0</v>
      </c>
      <c r="R73" s="556"/>
      <c r="S73" s="556"/>
      <c r="T73" s="556"/>
      <c r="U73" s="556"/>
      <c r="V73" s="556"/>
      <c r="W73" s="556"/>
      <c r="X73" s="556"/>
      <c r="Y73" s="556"/>
      <c r="Z73" s="556">
        <f t="shared" ref="Z73:Z139" si="11">R73+S73+T73+U73+V73+W73+X73+Y73</f>
        <v>0</v>
      </c>
    </row>
    <row r="74" spans="1:26" s="26" customFormat="1" x14ac:dyDescent="0.25">
      <c r="A74" s="1133"/>
      <c r="B74" s="70" t="s">
        <v>168</v>
      </c>
      <c r="C74" s="30" t="s">
        <v>169</v>
      </c>
      <c r="D74" s="556">
        <v>0</v>
      </c>
      <c r="E74" s="556">
        <v>0</v>
      </c>
      <c r="F74" s="556">
        <v>0</v>
      </c>
      <c r="G74" s="556"/>
      <c r="H74" s="556">
        <v>0</v>
      </c>
      <c r="I74" s="556">
        <v>0</v>
      </c>
      <c r="J74" s="556">
        <v>0</v>
      </c>
      <c r="K74" s="556">
        <f t="shared" si="9"/>
        <v>0</v>
      </c>
      <c r="L74" s="556"/>
      <c r="M74" s="556"/>
      <c r="N74" s="556"/>
      <c r="O74" s="556"/>
      <c r="P74" s="556"/>
      <c r="Q74" s="556"/>
      <c r="R74" s="556"/>
      <c r="S74" s="556"/>
      <c r="T74" s="556"/>
      <c r="U74" s="556"/>
      <c r="V74" s="556"/>
      <c r="W74" s="556"/>
      <c r="X74" s="556"/>
      <c r="Y74" s="556"/>
      <c r="Z74" s="556"/>
    </row>
    <row r="75" spans="1:26" s="26" customFormat="1" x14ac:dyDescent="0.25">
      <c r="A75" s="1134"/>
      <c r="B75" s="70" t="s">
        <v>174</v>
      </c>
      <c r="C75" s="30" t="s">
        <v>175</v>
      </c>
      <c r="D75" s="556">
        <v>0</v>
      </c>
      <c r="E75" s="556">
        <v>0</v>
      </c>
      <c r="F75" s="556">
        <v>0</v>
      </c>
      <c r="G75" s="556"/>
      <c r="H75" s="556">
        <v>0</v>
      </c>
      <c r="I75" s="556">
        <v>0</v>
      </c>
      <c r="J75" s="556">
        <v>0</v>
      </c>
      <c r="K75" s="556">
        <f t="shared" si="9"/>
        <v>0</v>
      </c>
      <c r="L75" s="556"/>
      <c r="M75" s="556"/>
      <c r="N75" s="556"/>
      <c r="O75" s="556"/>
      <c r="P75" s="556"/>
      <c r="Q75" s="556"/>
      <c r="R75" s="556"/>
      <c r="S75" s="556"/>
      <c r="T75" s="556"/>
      <c r="U75" s="556"/>
      <c r="V75" s="556"/>
      <c r="W75" s="556"/>
      <c r="X75" s="556"/>
      <c r="Y75" s="556"/>
      <c r="Z75" s="556"/>
    </row>
    <row r="76" spans="1:26" s="26" customFormat="1" ht="26.25" customHeight="1" x14ac:dyDescent="0.25">
      <c r="A76" s="1132">
        <v>63</v>
      </c>
      <c r="B76" s="70" t="s">
        <v>176</v>
      </c>
      <c r="C76" s="144" t="s">
        <v>788</v>
      </c>
      <c r="D76" s="556">
        <v>0</v>
      </c>
      <c r="E76" s="556">
        <v>0</v>
      </c>
      <c r="F76" s="556">
        <v>0</v>
      </c>
      <c r="G76" s="556">
        <f t="shared" si="8"/>
        <v>0</v>
      </c>
      <c r="H76" s="556">
        <v>0</v>
      </c>
      <c r="I76" s="556">
        <v>0</v>
      </c>
      <c r="J76" s="556">
        <v>0</v>
      </c>
      <c r="K76" s="556">
        <f t="shared" si="9"/>
        <v>0</v>
      </c>
      <c r="L76" s="556">
        <v>0</v>
      </c>
      <c r="M76" s="556">
        <v>0</v>
      </c>
      <c r="N76" s="556">
        <v>0</v>
      </c>
      <c r="O76" s="556">
        <v>0</v>
      </c>
      <c r="P76" s="556">
        <v>0</v>
      </c>
      <c r="Q76" s="556">
        <f t="shared" si="10"/>
        <v>0</v>
      </c>
      <c r="R76" s="556"/>
      <c r="S76" s="556"/>
      <c r="T76" s="556"/>
      <c r="U76" s="556"/>
      <c r="V76" s="556"/>
      <c r="W76" s="556"/>
      <c r="X76" s="556"/>
      <c r="Y76" s="556"/>
      <c r="Z76" s="556">
        <f t="shared" si="11"/>
        <v>0</v>
      </c>
    </row>
    <row r="77" spans="1:26" s="26" customFormat="1" x14ac:dyDescent="0.25">
      <c r="A77" s="1133"/>
      <c r="B77" s="71" t="s">
        <v>172</v>
      </c>
      <c r="C77" s="30" t="s">
        <v>173</v>
      </c>
      <c r="D77" s="556">
        <v>0</v>
      </c>
      <c r="E77" s="556">
        <v>0</v>
      </c>
      <c r="F77" s="556">
        <v>0</v>
      </c>
      <c r="G77" s="556">
        <f t="shared" si="8"/>
        <v>0</v>
      </c>
      <c r="H77" s="556">
        <v>0</v>
      </c>
      <c r="I77" s="556">
        <v>0</v>
      </c>
      <c r="J77" s="556">
        <v>0</v>
      </c>
      <c r="K77" s="556">
        <f t="shared" si="9"/>
        <v>0</v>
      </c>
      <c r="L77" s="556">
        <v>0</v>
      </c>
      <c r="M77" s="556">
        <v>0</v>
      </c>
      <c r="N77" s="556">
        <v>0</v>
      </c>
      <c r="O77" s="556">
        <v>0</v>
      </c>
      <c r="P77" s="556">
        <v>0</v>
      </c>
      <c r="Q77" s="556">
        <f t="shared" si="10"/>
        <v>0</v>
      </c>
      <c r="R77" s="556"/>
      <c r="S77" s="556"/>
      <c r="T77" s="556"/>
      <c r="U77" s="556"/>
      <c r="V77" s="556"/>
      <c r="W77" s="556"/>
      <c r="X77" s="556"/>
      <c r="Y77" s="556"/>
      <c r="Z77" s="556">
        <f t="shared" si="11"/>
        <v>0</v>
      </c>
    </row>
    <row r="78" spans="1:26" s="26" customFormat="1" x14ac:dyDescent="0.25">
      <c r="A78" s="1133"/>
      <c r="B78" s="70" t="s">
        <v>178</v>
      </c>
      <c r="C78" s="30" t="s">
        <v>179</v>
      </c>
      <c r="D78" s="556">
        <v>0</v>
      </c>
      <c r="E78" s="556">
        <v>0</v>
      </c>
      <c r="F78" s="556">
        <v>0</v>
      </c>
      <c r="G78" s="556">
        <f t="shared" si="8"/>
        <v>0</v>
      </c>
      <c r="H78" s="556">
        <v>0</v>
      </c>
      <c r="I78" s="556">
        <v>0</v>
      </c>
      <c r="J78" s="556">
        <v>0</v>
      </c>
      <c r="K78" s="556">
        <f t="shared" si="9"/>
        <v>0</v>
      </c>
      <c r="L78" s="556">
        <v>0</v>
      </c>
      <c r="M78" s="556">
        <v>0</v>
      </c>
      <c r="N78" s="556">
        <v>0</v>
      </c>
      <c r="O78" s="556">
        <v>0</v>
      </c>
      <c r="P78" s="556">
        <v>0</v>
      </c>
      <c r="Q78" s="556">
        <f t="shared" si="10"/>
        <v>0</v>
      </c>
      <c r="R78" s="556"/>
      <c r="S78" s="556"/>
      <c r="T78" s="556"/>
      <c r="U78" s="556"/>
      <c r="V78" s="556"/>
      <c r="W78" s="556"/>
      <c r="X78" s="556"/>
      <c r="Y78" s="556"/>
      <c r="Z78" s="556">
        <f t="shared" si="11"/>
        <v>0</v>
      </c>
    </row>
    <row r="79" spans="1:26" s="26" customFormat="1" x14ac:dyDescent="0.25">
      <c r="A79" s="1134"/>
      <c r="B79" s="70" t="s">
        <v>180</v>
      </c>
      <c r="C79" s="30" t="s">
        <v>181</v>
      </c>
      <c r="D79" s="556">
        <v>0</v>
      </c>
      <c r="E79" s="556">
        <v>0</v>
      </c>
      <c r="F79" s="556">
        <v>0</v>
      </c>
      <c r="G79" s="556"/>
      <c r="H79" s="556">
        <v>0</v>
      </c>
      <c r="I79" s="556">
        <v>0</v>
      </c>
      <c r="J79" s="556">
        <v>0</v>
      </c>
      <c r="K79" s="556">
        <f t="shared" si="9"/>
        <v>0</v>
      </c>
      <c r="L79" s="556"/>
      <c r="M79" s="556"/>
      <c r="N79" s="556"/>
      <c r="O79" s="556"/>
      <c r="P79" s="556"/>
      <c r="Q79" s="556"/>
      <c r="R79" s="556"/>
      <c r="S79" s="556"/>
      <c r="T79" s="556"/>
      <c r="U79" s="556"/>
      <c r="V79" s="556"/>
      <c r="W79" s="556"/>
      <c r="X79" s="556"/>
      <c r="Y79" s="556"/>
      <c r="Z79" s="556"/>
    </row>
    <row r="80" spans="1:26" s="26" customFormat="1" x14ac:dyDescent="0.25">
      <c r="A80" s="588">
        <v>64</v>
      </c>
      <c r="B80" s="604" t="s">
        <v>182</v>
      </c>
      <c r="C80" s="30" t="s">
        <v>183</v>
      </c>
      <c r="D80" s="556">
        <v>1890</v>
      </c>
      <c r="E80" s="556">
        <v>52</v>
      </c>
      <c r="F80" s="556">
        <v>275</v>
      </c>
      <c r="G80" s="556">
        <f t="shared" si="8"/>
        <v>0</v>
      </c>
      <c r="H80" s="556">
        <v>0</v>
      </c>
      <c r="I80" s="556">
        <v>0</v>
      </c>
      <c r="J80" s="556">
        <v>0</v>
      </c>
      <c r="K80" s="556">
        <f t="shared" si="9"/>
        <v>2217</v>
      </c>
      <c r="L80" s="556">
        <v>0</v>
      </c>
      <c r="M80" s="556">
        <v>0</v>
      </c>
      <c r="N80" s="556">
        <v>0</v>
      </c>
      <c r="O80" s="556">
        <v>0</v>
      </c>
      <c r="P80" s="556">
        <v>0</v>
      </c>
      <c r="Q80" s="556">
        <f t="shared" si="10"/>
        <v>0</v>
      </c>
      <c r="R80" s="556"/>
      <c r="S80" s="556"/>
      <c r="T80" s="556"/>
      <c r="U80" s="556"/>
      <c r="V80" s="556"/>
      <c r="W80" s="556"/>
      <c r="X80" s="556"/>
      <c r="Y80" s="556"/>
      <c r="Z80" s="556">
        <f t="shared" si="11"/>
        <v>0</v>
      </c>
    </row>
    <row r="81" spans="1:26" s="26" customFormat="1" x14ac:dyDescent="0.25">
      <c r="A81" s="588">
        <v>65</v>
      </c>
      <c r="B81" s="70" t="s">
        <v>184</v>
      </c>
      <c r="C81" s="30" t="s">
        <v>185</v>
      </c>
      <c r="D81" s="556">
        <v>4557</v>
      </c>
      <c r="E81" s="556">
        <v>178</v>
      </c>
      <c r="F81" s="556">
        <v>664</v>
      </c>
      <c r="G81" s="556">
        <f t="shared" si="8"/>
        <v>0</v>
      </c>
      <c r="H81" s="556">
        <v>0</v>
      </c>
      <c r="I81" s="556">
        <v>0</v>
      </c>
      <c r="J81" s="556">
        <v>0</v>
      </c>
      <c r="K81" s="556">
        <f t="shared" si="9"/>
        <v>5399</v>
      </c>
      <c r="L81" s="556">
        <v>0</v>
      </c>
      <c r="M81" s="556">
        <v>0</v>
      </c>
      <c r="N81" s="556">
        <v>0</v>
      </c>
      <c r="O81" s="556">
        <v>0</v>
      </c>
      <c r="P81" s="556">
        <v>0</v>
      </c>
      <c r="Q81" s="556">
        <f t="shared" si="10"/>
        <v>0</v>
      </c>
      <c r="R81" s="556"/>
      <c r="S81" s="556"/>
      <c r="T81" s="556"/>
      <c r="U81" s="556"/>
      <c r="V81" s="556"/>
      <c r="W81" s="556"/>
      <c r="X81" s="556"/>
      <c r="Y81" s="556"/>
      <c r="Z81" s="556">
        <f t="shared" si="11"/>
        <v>0</v>
      </c>
    </row>
    <row r="82" spans="1:26" s="26" customFormat="1" x14ac:dyDescent="0.25">
      <c r="A82" s="588">
        <v>66</v>
      </c>
      <c r="B82" s="604" t="s">
        <v>186</v>
      </c>
      <c r="C82" s="30" t="s">
        <v>187</v>
      </c>
      <c r="D82" s="556">
        <v>2479</v>
      </c>
      <c r="E82" s="556">
        <v>68</v>
      </c>
      <c r="F82" s="556">
        <v>361</v>
      </c>
      <c r="G82" s="556">
        <f t="shared" si="8"/>
        <v>366</v>
      </c>
      <c r="H82" s="556">
        <v>336</v>
      </c>
      <c r="I82" s="556">
        <v>0</v>
      </c>
      <c r="J82" s="556">
        <v>30</v>
      </c>
      <c r="K82" s="556">
        <f t="shared" si="9"/>
        <v>3274</v>
      </c>
      <c r="L82" s="556">
        <v>0</v>
      </c>
      <c r="M82" s="556">
        <v>0</v>
      </c>
      <c r="N82" s="556">
        <v>0</v>
      </c>
      <c r="O82" s="556">
        <v>0</v>
      </c>
      <c r="P82" s="556">
        <v>0</v>
      </c>
      <c r="Q82" s="556">
        <f t="shared" si="10"/>
        <v>0</v>
      </c>
      <c r="R82" s="556"/>
      <c r="S82" s="556"/>
      <c r="T82" s="556"/>
      <c r="U82" s="556"/>
      <c r="V82" s="556"/>
      <c r="W82" s="556"/>
      <c r="X82" s="556"/>
      <c r="Y82" s="556"/>
      <c r="Z82" s="556">
        <f t="shared" si="11"/>
        <v>0</v>
      </c>
    </row>
    <row r="83" spans="1:26" s="26" customFormat="1" ht="24" x14ac:dyDescent="0.25">
      <c r="A83" s="1132">
        <v>67</v>
      </c>
      <c r="B83" s="70" t="s">
        <v>188</v>
      </c>
      <c r="C83" s="144" t="s">
        <v>787</v>
      </c>
      <c r="D83" s="556">
        <v>1923</v>
      </c>
      <c r="E83" s="556">
        <v>0</v>
      </c>
      <c r="F83" s="556">
        <v>321</v>
      </c>
      <c r="G83" s="556">
        <f t="shared" si="8"/>
        <v>0</v>
      </c>
      <c r="H83" s="556">
        <v>0</v>
      </c>
      <c r="I83" s="556">
        <v>0</v>
      </c>
      <c r="J83" s="556">
        <v>0</v>
      </c>
      <c r="K83" s="556">
        <f t="shared" si="9"/>
        <v>2244</v>
      </c>
      <c r="L83" s="556">
        <v>0</v>
      </c>
      <c r="M83" s="556">
        <v>0</v>
      </c>
      <c r="N83" s="556">
        <v>0</v>
      </c>
      <c r="O83" s="556">
        <v>0</v>
      </c>
      <c r="P83" s="556">
        <v>0</v>
      </c>
      <c r="Q83" s="556">
        <f t="shared" si="10"/>
        <v>0</v>
      </c>
      <c r="R83" s="556"/>
      <c r="S83" s="556"/>
      <c r="T83" s="556"/>
      <c r="U83" s="556"/>
      <c r="V83" s="556"/>
      <c r="W83" s="556"/>
      <c r="X83" s="556"/>
      <c r="Y83" s="556"/>
      <c r="Z83" s="556">
        <f t="shared" si="11"/>
        <v>0</v>
      </c>
    </row>
    <row r="84" spans="1:26" s="26" customFormat="1" x14ac:dyDescent="0.25">
      <c r="A84" s="1134"/>
      <c r="B84" s="604" t="s">
        <v>156</v>
      </c>
      <c r="C84" s="30" t="s">
        <v>157</v>
      </c>
      <c r="D84" s="556">
        <v>80</v>
      </c>
      <c r="E84" s="556">
        <v>0</v>
      </c>
      <c r="F84" s="556">
        <v>0</v>
      </c>
      <c r="G84" s="556"/>
      <c r="H84" s="556">
        <v>0</v>
      </c>
      <c r="I84" s="556">
        <v>0</v>
      </c>
      <c r="J84" s="556">
        <v>0</v>
      </c>
      <c r="K84" s="556">
        <f t="shared" si="9"/>
        <v>80</v>
      </c>
      <c r="L84" s="556"/>
      <c r="M84" s="556"/>
      <c r="N84" s="556"/>
      <c r="O84" s="556"/>
      <c r="P84" s="556"/>
      <c r="Q84" s="556"/>
      <c r="R84" s="556"/>
      <c r="S84" s="556"/>
      <c r="T84" s="556"/>
      <c r="U84" s="556"/>
      <c r="V84" s="556"/>
      <c r="W84" s="556"/>
      <c r="X84" s="556"/>
      <c r="Y84" s="556"/>
      <c r="Z84" s="556"/>
    </row>
    <row r="85" spans="1:26" s="26" customFormat="1" x14ac:dyDescent="0.25">
      <c r="A85" s="588">
        <v>68</v>
      </c>
      <c r="B85" s="70" t="s">
        <v>190</v>
      </c>
      <c r="C85" s="30" t="s">
        <v>191</v>
      </c>
      <c r="D85" s="556">
        <v>4198</v>
      </c>
      <c r="E85" s="556">
        <v>150</v>
      </c>
      <c r="F85" s="556">
        <v>859</v>
      </c>
      <c r="G85" s="556">
        <f t="shared" si="8"/>
        <v>624</v>
      </c>
      <c r="H85" s="556">
        <v>432</v>
      </c>
      <c r="I85" s="556">
        <v>62</v>
      </c>
      <c r="J85" s="556">
        <v>130</v>
      </c>
      <c r="K85" s="556">
        <f t="shared" si="9"/>
        <v>5831</v>
      </c>
      <c r="L85" s="556">
        <v>328</v>
      </c>
      <c r="M85" s="556">
        <v>2774</v>
      </c>
      <c r="N85" s="556">
        <v>8161</v>
      </c>
      <c r="O85" s="556">
        <v>5210</v>
      </c>
      <c r="P85" s="556">
        <v>762</v>
      </c>
      <c r="Q85" s="556">
        <f t="shared" si="10"/>
        <v>17235</v>
      </c>
      <c r="R85" s="556"/>
      <c r="S85" s="556"/>
      <c r="T85" s="556"/>
      <c r="U85" s="556"/>
      <c r="V85" s="556"/>
      <c r="W85" s="556"/>
      <c r="X85" s="556"/>
      <c r="Y85" s="556"/>
      <c r="Z85" s="556">
        <f t="shared" si="11"/>
        <v>0</v>
      </c>
    </row>
    <row r="86" spans="1:26" s="26" customFormat="1" ht="24" x14ac:dyDescent="0.25">
      <c r="A86" s="1132">
        <v>69</v>
      </c>
      <c r="B86" s="70" t="s">
        <v>192</v>
      </c>
      <c r="C86" s="144" t="s">
        <v>786</v>
      </c>
      <c r="D86" s="556">
        <v>660</v>
      </c>
      <c r="E86" s="556">
        <v>0</v>
      </c>
      <c r="F86" s="556">
        <v>0</v>
      </c>
      <c r="G86" s="556">
        <f t="shared" si="8"/>
        <v>0</v>
      </c>
      <c r="H86" s="556">
        <v>0</v>
      </c>
      <c r="I86" s="556">
        <v>0</v>
      </c>
      <c r="J86" s="556">
        <v>0</v>
      </c>
      <c r="K86" s="556">
        <f t="shared" si="9"/>
        <v>660</v>
      </c>
      <c r="L86" s="556">
        <v>0</v>
      </c>
      <c r="M86" s="556">
        <v>0</v>
      </c>
      <c r="N86" s="556">
        <v>0</v>
      </c>
      <c r="O86" s="556">
        <v>0</v>
      </c>
      <c r="P86" s="556">
        <v>0</v>
      </c>
      <c r="Q86" s="556">
        <f t="shared" si="10"/>
        <v>0</v>
      </c>
      <c r="R86" s="556"/>
      <c r="S86" s="556"/>
      <c r="T86" s="556"/>
      <c r="U86" s="556"/>
      <c r="V86" s="556"/>
      <c r="W86" s="556"/>
      <c r="X86" s="556"/>
      <c r="Y86" s="556"/>
      <c r="Z86" s="556">
        <f t="shared" si="11"/>
        <v>0</v>
      </c>
    </row>
    <row r="87" spans="1:26" s="26" customFormat="1" x14ac:dyDescent="0.25">
      <c r="A87" s="1134"/>
      <c r="B87" s="70" t="s">
        <v>152</v>
      </c>
      <c r="C87" s="30" t="s">
        <v>548</v>
      </c>
      <c r="D87" s="556">
        <v>0</v>
      </c>
      <c r="E87" s="556">
        <v>0</v>
      </c>
      <c r="F87" s="556">
        <v>0</v>
      </c>
      <c r="G87" s="556"/>
      <c r="H87" s="556">
        <v>0</v>
      </c>
      <c r="I87" s="556">
        <v>0</v>
      </c>
      <c r="J87" s="556">
        <v>0</v>
      </c>
      <c r="K87" s="556">
        <f t="shared" si="9"/>
        <v>0</v>
      </c>
      <c r="L87" s="556"/>
      <c r="M87" s="556"/>
      <c r="N87" s="556"/>
      <c r="O87" s="556"/>
      <c r="P87" s="556"/>
      <c r="Q87" s="556"/>
      <c r="R87" s="556"/>
      <c r="S87" s="556"/>
      <c r="T87" s="556"/>
      <c r="U87" s="556"/>
      <c r="V87" s="556"/>
      <c r="W87" s="556"/>
      <c r="X87" s="556"/>
      <c r="Y87" s="556"/>
      <c r="Z87" s="556"/>
    </row>
    <row r="88" spans="1:26" s="26" customFormat="1" x14ac:dyDescent="0.25">
      <c r="A88" s="588">
        <v>70</v>
      </c>
      <c r="B88" s="70" t="s">
        <v>194</v>
      </c>
      <c r="C88" s="30" t="s">
        <v>195</v>
      </c>
      <c r="D88" s="556">
        <v>3378</v>
      </c>
      <c r="E88" s="556">
        <v>0</v>
      </c>
      <c r="F88" s="556">
        <v>492</v>
      </c>
      <c r="G88" s="556">
        <f t="shared" si="8"/>
        <v>894</v>
      </c>
      <c r="H88" s="556">
        <v>729</v>
      </c>
      <c r="I88" s="556">
        <v>0</v>
      </c>
      <c r="J88" s="556">
        <v>165</v>
      </c>
      <c r="K88" s="556">
        <f t="shared" si="9"/>
        <v>4764</v>
      </c>
      <c r="L88" s="556">
        <v>0</v>
      </c>
      <c r="M88" s="556">
        <v>0</v>
      </c>
      <c r="N88" s="556">
        <v>0</v>
      </c>
      <c r="O88" s="556">
        <v>0</v>
      </c>
      <c r="P88" s="556">
        <v>0</v>
      </c>
      <c r="Q88" s="556">
        <f t="shared" si="10"/>
        <v>0</v>
      </c>
      <c r="R88" s="556"/>
      <c r="S88" s="556"/>
      <c r="T88" s="556"/>
      <c r="U88" s="556"/>
      <c r="V88" s="556"/>
      <c r="W88" s="556"/>
      <c r="X88" s="556"/>
      <c r="Y88" s="556"/>
      <c r="Z88" s="556">
        <f t="shared" si="11"/>
        <v>0</v>
      </c>
    </row>
    <row r="89" spans="1:26" s="26" customFormat="1" x14ac:dyDescent="0.25">
      <c r="A89" s="588">
        <v>71</v>
      </c>
      <c r="B89" s="70" t="s">
        <v>196</v>
      </c>
      <c r="C89" s="30" t="s">
        <v>197</v>
      </c>
      <c r="D89" s="556">
        <v>0</v>
      </c>
      <c r="E89" s="556">
        <v>0</v>
      </c>
      <c r="F89" s="556">
        <v>0</v>
      </c>
      <c r="G89" s="556">
        <f t="shared" si="8"/>
        <v>0</v>
      </c>
      <c r="H89" s="556">
        <v>0</v>
      </c>
      <c r="I89" s="556">
        <v>0</v>
      </c>
      <c r="J89" s="556">
        <v>0</v>
      </c>
      <c r="K89" s="556">
        <f t="shared" si="9"/>
        <v>0</v>
      </c>
      <c r="L89" s="556">
        <v>0</v>
      </c>
      <c r="M89" s="556">
        <v>0</v>
      </c>
      <c r="N89" s="556">
        <v>0</v>
      </c>
      <c r="O89" s="556">
        <v>0</v>
      </c>
      <c r="P89" s="556">
        <v>0</v>
      </c>
      <c r="Q89" s="556">
        <f t="shared" si="10"/>
        <v>0</v>
      </c>
      <c r="R89" s="556"/>
      <c r="S89" s="556"/>
      <c r="T89" s="556"/>
      <c r="U89" s="556"/>
      <c r="V89" s="556"/>
      <c r="W89" s="556"/>
      <c r="X89" s="556"/>
      <c r="Y89" s="556"/>
      <c r="Z89" s="556">
        <f t="shared" si="11"/>
        <v>0</v>
      </c>
    </row>
    <row r="90" spans="1:26" s="26" customFormat="1" x14ac:dyDescent="0.25">
      <c r="A90" s="588">
        <v>72</v>
      </c>
      <c r="B90" s="71" t="s">
        <v>30</v>
      </c>
      <c r="C90" s="30" t="s">
        <v>198</v>
      </c>
      <c r="D90" s="556">
        <v>0</v>
      </c>
      <c r="E90" s="556">
        <v>0</v>
      </c>
      <c r="F90" s="556">
        <v>0</v>
      </c>
      <c r="G90" s="556">
        <f t="shared" si="8"/>
        <v>0</v>
      </c>
      <c r="H90" s="556">
        <v>0</v>
      </c>
      <c r="I90" s="556">
        <v>0</v>
      </c>
      <c r="J90" s="556">
        <v>0</v>
      </c>
      <c r="K90" s="556">
        <f t="shared" si="9"/>
        <v>0</v>
      </c>
      <c r="L90" s="556">
        <v>0</v>
      </c>
      <c r="M90" s="556">
        <v>0</v>
      </c>
      <c r="N90" s="556">
        <v>0</v>
      </c>
      <c r="O90" s="556">
        <v>0</v>
      </c>
      <c r="P90" s="556">
        <v>0</v>
      </c>
      <c r="Q90" s="556">
        <f t="shared" si="10"/>
        <v>0</v>
      </c>
      <c r="R90" s="556"/>
      <c r="S90" s="556"/>
      <c r="T90" s="556"/>
      <c r="U90" s="556"/>
      <c r="V90" s="556"/>
      <c r="W90" s="556"/>
      <c r="X90" s="556"/>
      <c r="Y90" s="556"/>
      <c r="Z90" s="556">
        <f t="shared" si="11"/>
        <v>0</v>
      </c>
    </row>
    <row r="91" spans="1:26" s="26" customFormat="1" ht="24" x14ac:dyDescent="0.25">
      <c r="A91" s="1132">
        <v>73</v>
      </c>
      <c r="B91" s="1135" t="s">
        <v>199</v>
      </c>
      <c r="C91" s="144" t="s">
        <v>790</v>
      </c>
      <c r="D91" s="556">
        <v>183</v>
      </c>
      <c r="E91" s="556">
        <v>5</v>
      </c>
      <c r="F91" s="556">
        <v>27</v>
      </c>
      <c r="G91" s="556">
        <f t="shared" si="8"/>
        <v>0</v>
      </c>
      <c r="H91" s="556">
        <v>0</v>
      </c>
      <c r="I91" s="556">
        <v>0</v>
      </c>
      <c r="J91" s="556">
        <v>0</v>
      </c>
      <c r="K91" s="556">
        <f t="shared" si="9"/>
        <v>215</v>
      </c>
      <c r="L91" s="556">
        <v>0</v>
      </c>
      <c r="M91" s="556">
        <v>0</v>
      </c>
      <c r="N91" s="556">
        <v>0</v>
      </c>
      <c r="O91" s="556">
        <v>0</v>
      </c>
      <c r="P91" s="556">
        <v>0</v>
      </c>
      <c r="Q91" s="556">
        <f t="shared" si="10"/>
        <v>0</v>
      </c>
      <c r="R91" s="556"/>
      <c r="S91" s="556"/>
      <c r="T91" s="556"/>
      <c r="U91" s="556"/>
      <c r="V91" s="556"/>
      <c r="W91" s="556"/>
      <c r="X91" s="556"/>
      <c r="Y91" s="556"/>
      <c r="Z91" s="556">
        <f t="shared" si="11"/>
        <v>0</v>
      </c>
    </row>
    <row r="92" spans="1:26" s="26" customFormat="1" ht="36" x14ac:dyDescent="0.25">
      <c r="A92" s="1133"/>
      <c r="B92" s="1136"/>
      <c r="C92" s="30" t="s">
        <v>201</v>
      </c>
      <c r="D92" s="556">
        <v>183</v>
      </c>
      <c r="E92" s="556">
        <v>5</v>
      </c>
      <c r="F92" s="556">
        <v>27</v>
      </c>
      <c r="G92" s="556">
        <f t="shared" si="8"/>
        <v>0</v>
      </c>
      <c r="H92" s="556">
        <v>0</v>
      </c>
      <c r="I92" s="556">
        <v>0</v>
      </c>
      <c r="J92" s="556">
        <v>0</v>
      </c>
      <c r="K92" s="556">
        <f t="shared" si="9"/>
        <v>215</v>
      </c>
      <c r="L92" s="556">
        <v>0</v>
      </c>
      <c r="M92" s="556">
        <v>0</v>
      </c>
      <c r="N92" s="556">
        <v>0</v>
      </c>
      <c r="O92" s="556">
        <v>0</v>
      </c>
      <c r="P92" s="556">
        <v>0</v>
      </c>
      <c r="Q92" s="556">
        <f t="shared" si="10"/>
        <v>0</v>
      </c>
      <c r="R92" s="556"/>
      <c r="S92" s="556"/>
      <c r="T92" s="556"/>
      <c r="U92" s="556"/>
      <c r="V92" s="556"/>
      <c r="W92" s="556"/>
      <c r="X92" s="556"/>
      <c r="Y92" s="556"/>
      <c r="Z92" s="556">
        <f t="shared" si="11"/>
        <v>0</v>
      </c>
    </row>
    <row r="93" spans="1:26" s="26" customFormat="1" x14ac:dyDescent="0.25">
      <c r="A93" s="1133"/>
      <c r="B93" s="1136"/>
      <c r="C93" s="30" t="s">
        <v>202</v>
      </c>
      <c r="D93" s="556">
        <v>0</v>
      </c>
      <c r="E93" s="556">
        <v>0</v>
      </c>
      <c r="F93" s="556">
        <v>0</v>
      </c>
      <c r="G93" s="556">
        <f t="shared" si="8"/>
        <v>0</v>
      </c>
      <c r="H93" s="556">
        <v>0</v>
      </c>
      <c r="I93" s="556">
        <v>0</v>
      </c>
      <c r="J93" s="556">
        <v>0</v>
      </c>
      <c r="K93" s="556">
        <f t="shared" si="9"/>
        <v>0</v>
      </c>
      <c r="L93" s="556">
        <v>0</v>
      </c>
      <c r="M93" s="556">
        <v>0</v>
      </c>
      <c r="N93" s="556">
        <v>0</v>
      </c>
      <c r="O93" s="556">
        <v>0</v>
      </c>
      <c r="P93" s="556">
        <v>0</v>
      </c>
      <c r="Q93" s="556">
        <f t="shared" si="10"/>
        <v>0</v>
      </c>
      <c r="R93" s="556"/>
      <c r="S93" s="556"/>
      <c r="T93" s="556"/>
      <c r="U93" s="556"/>
      <c r="V93" s="556"/>
      <c r="W93" s="556"/>
      <c r="X93" s="556"/>
      <c r="Y93" s="556"/>
      <c r="Z93" s="556">
        <f t="shared" si="11"/>
        <v>0</v>
      </c>
    </row>
    <row r="94" spans="1:26" s="26" customFormat="1" ht="24" x14ac:dyDescent="0.25">
      <c r="A94" s="1134"/>
      <c r="B94" s="1137"/>
      <c r="C94" s="118" t="s">
        <v>203</v>
      </c>
      <c r="D94" s="556">
        <v>0</v>
      </c>
      <c r="E94" s="556">
        <v>0</v>
      </c>
      <c r="F94" s="556">
        <v>0</v>
      </c>
      <c r="G94" s="556">
        <f t="shared" si="8"/>
        <v>0</v>
      </c>
      <c r="H94" s="556">
        <v>0</v>
      </c>
      <c r="I94" s="556">
        <v>0</v>
      </c>
      <c r="J94" s="556">
        <v>0</v>
      </c>
      <c r="K94" s="556">
        <f t="shared" si="9"/>
        <v>0</v>
      </c>
      <c r="L94" s="556">
        <v>0</v>
      </c>
      <c r="M94" s="556">
        <v>0</v>
      </c>
      <c r="N94" s="556">
        <v>0</v>
      </c>
      <c r="O94" s="556">
        <v>0</v>
      </c>
      <c r="P94" s="556">
        <v>0</v>
      </c>
      <c r="Q94" s="556">
        <f t="shared" si="10"/>
        <v>0</v>
      </c>
      <c r="R94" s="556"/>
      <c r="S94" s="556"/>
      <c r="T94" s="556"/>
      <c r="U94" s="556"/>
      <c r="V94" s="556"/>
      <c r="W94" s="556"/>
      <c r="X94" s="556"/>
      <c r="Y94" s="556"/>
      <c r="Z94" s="556">
        <f t="shared" si="11"/>
        <v>0</v>
      </c>
    </row>
    <row r="95" spans="1:26" s="26" customFormat="1" ht="15" customHeight="1" x14ac:dyDescent="0.25">
      <c r="A95" s="588">
        <v>74</v>
      </c>
      <c r="B95" s="71" t="s">
        <v>204</v>
      </c>
      <c r="C95" s="30" t="s">
        <v>205</v>
      </c>
      <c r="D95" s="556">
        <v>0</v>
      </c>
      <c r="E95" s="556">
        <v>0</v>
      </c>
      <c r="F95" s="556">
        <v>0</v>
      </c>
      <c r="G95" s="556">
        <f t="shared" si="8"/>
        <v>0</v>
      </c>
      <c r="H95" s="556">
        <v>0</v>
      </c>
      <c r="I95" s="556">
        <v>0</v>
      </c>
      <c r="J95" s="556">
        <v>0</v>
      </c>
      <c r="K95" s="556">
        <f t="shared" si="9"/>
        <v>0</v>
      </c>
      <c r="L95" s="556">
        <v>0</v>
      </c>
      <c r="M95" s="556">
        <v>0</v>
      </c>
      <c r="N95" s="556">
        <v>0</v>
      </c>
      <c r="O95" s="556">
        <v>0</v>
      </c>
      <c r="P95" s="556">
        <v>0</v>
      </c>
      <c r="Q95" s="556">
        <f t="shared" si="10"/>
        <v>0</v>
      </c>
      <c r="R95" s="556"/>
      <c r="S95" s="556"/>
      <c r="T95" s="556"/>
      <c r="U95" s="556"/>
      <c r="V95" s="556"/>
      <c r="W95" s="556"/>
      <c r="X95" s="556"/>
      <c r="Y95" s="556"/>
      <c r="Z95" s="556">
        <f t="shared" si="11"/>
        <v>0</v>
      </c>
    </row>
    <row r="96" spans="1:26" s="26" customFormat="1" x14ac:dyDescent="0.25">
      <c r="A96" s="588">
        <v>75</v>
      </c>
      <c r="B96" s="71" t="s">
        <v>206</v>
      </c>
      <c r="C96" s="30" t="s">
        <v>207</v>
      </c>
      <c r="D96" s="556">
        <v>145</v>
      </c>
      <c r="E96" s="556">
        <v>0</v>
      </c>
      <c r="F96" s="556">
        <v>0</v>
      </c>
      <c r="G96" s="556">
        <f t="shared" si="8"/>
        <v>0</v>
      </c>
      <c r="H96" s="556">
        <v>0</v>
      </c>
      <c r="I96" s="556">
        <v>0</v>
      </c>
      <c r="J96" s="556">
        <v>0</v>
      </c>
      <c r="K96" s="556">
        <f t="shared" si="9"/>
        <v>145</v>
      </c>
      <c r="L96" s="556">
        <v>0</v>
      </c>
      <c r="M96" s="556">
        <v>0</v>
      </c>
      <c r="N96" s="556">
        <v>0</v>
      </c>
      <c r="O96" s="556">
        <v>0</v>
      </c>
      <c r="P96" s="556">
        <v>0</v>
      </c>
      <c r="Q96" s="556">
        <f t="shared" si="10"/>
        <v>0</v>
      </c>
      <c r="R96" s="556"/>
      <c r="S96" s="556"/>
      <c r="T96" s="556"/>
      <c r="U96" s="556"/>
      <c r="V96" s="556"/>
      <c r="W96" s="556"/>
      <c r="X96" s="556"/>
      <c r="Y96" s="556"/>
      <c r="Z96" s="556">
        <f t="shared" si="11"/>
        <v>0</v>
      </c>
    </row>
    <row r="97" spans="1:26" s="26" customFormat="1" x14ac:dyDescent="0.25">
      <c r="A97" s="588">
        <v>76</v>
      </c>
      <c r="B97" s="604" t="s">
        <v>208</v>
      </c>
      <c r="C97" s="30" t="s">
        <v>209</v>
      </c>
      <c r="D97" s="556">
        <v>902</v>
      </c>
      <c r="E97" s="556">
        <v>23</v>
      </c>
      <c r="F97" s="556">
        <v>152</v>
      </c>
      <c r="G97" s="556">
        <f t="shared" si="8"/>
        <v>372</v>
      </c>
      <c r="H97" s="556">
        <v>272</v>
      </c>
      <c r="I97" s="556">
        <v>34</v>
      </c>
      <c r="J97" s="556">
        <v>66</v>
      </c>
      <c r="K97" s="556">
        <f t="shared" si="9"/>
        <v>1449</v>
      </c>
      <c r="L97" s="556">
        <v>0</v>
      </c>
      <c r="M97" s="556">
        <v>0</v>
      </c>
      <c r="N97" s="556">
        <v>0</v>
      </c>
      <c r="O97" s="556">
        <v>0</v>
      </c>
      <c r="P97" s="556">
        <v>0</v>
      </c>
      <c r="Q97" s="556">
        <f t="shared" si="10"/>
        <v>0</v>
      </c>
      <c r="R97" s="556"/>
      <c r="S97" s="556"/>
      <c r="T97" s="556"/>
      <c r="U97" s="556"/>
      <c r="V97" s="556"/>
      <c r="W97" s="556"/>
      <c r="X97" s="556"/>
      <c r="Y97" s="556"/>
      <c r="Z97" s="556">
        <f t="shared" si="11"/>
        <v>0</v>
      </c>
    </row>
    <row r="98" spans="1:26" s="26" customFormat="1" x14ac:dyDescent="0.25">
      <c r="A98" s="588">
        <v>77</v>
      </c>
      <c r="B98" s="71" t="s">
        <v>210</v>
      </c>
      <c r="C98" s="30" t="s">
        <v>211</v>
      </c>
      <c r="D98" s="556">
        <v>352</v>
      </c>
      <c r="E98" s="556">
        <v>10</v>
      </c>
      <c r="F98" s="556">
        <v>0</v>
      </c>
      <c r="G98" s="556">
        <f t="shared" si="8"/>
        <v>0</v>
      </c>
      <c r="H98" s="556">
        <v>0</v>
      </c>
      <c r="I98" s="556">
        <v>0</v>
      </c>
      <c r="J98" s="556">
        <v>0</v>
      </c>
      <c r="K98" s="556">
        <f t="shared" si="9"/>
        <v>362</v>
      </c>
      <c r="L98" s="556">
        <v>0</v>
      </c>
      <c r="M98" s="556">
        <v>0</v>
      </c>
      <c r="N98" s="556">
        <v>0</v>
      </c>
      <c r="O98" s="556">
        <v>0</v>
      </c>
      <c r="P98" s="556">
        <v>0</v>
      </c>
      <c r="Q98" s="556">
        <f t="shared" si="10"/>
        <v>0</v>
      </c>
      <c r="R98" s="556"/>
      <c r="S98" s="556"/>
      <c r="T98" s="556"/>
      <c r="U98" s="556"/>
      <c r="V98" s="556"/>
      <c r="W98" s="556"/>
      <c r="X98" s="556"/>
      <c r="Y98" s="556"/>
      <c r="Z98" s="556">
        <f t="shared" si="11"/>
        <v>0</v>
      </c>
    </row>
    <row r="99" spans="1:26" s="26" customFormat="1" x14ac:dyDescent="0.25">
      <c r="A99" s="588">
        <v>78</v>
      </c>
      <c r="B99" s="604" t="s">
        <v>212</v>
      </c>
      <c r="C99" s="30" t="s">
        <v>213</v>
      </c>
      <c r="D99" s="556">
        <v>368</v>
      </c>
      <c r="E99" s="556">
        <v>0</v>
      </c>
      <c r="F99" s="556">
        <v>54</v>
      </c>
      <c r="G99" s="556">
        <f t="shared" si="8"/>
        <v>0</v>
      </c>
      <c r="H99" s="556">
        <v>0</v>
      </c>
      <c r="I99" s="556">
        <v>0</v>
      </c>
      <c r="J99" s="556">
        <v>0</v>
      </c>
      <c r="K99" s="556">
        <f t="shared" si="9"/>
        <v>422</v>
      </c>
      <c r="L99" s="556">
        <v>0</v>
      </c>
      <c r="M99" s="556">
        <v>0</v>
      </c>
      <c r="N99" s="556">
        <v>0</v>
      </c>
      <c r="O99" s="556">
        <v>0</v>
      </c>
      <c r="P99" s="556">
        <v>0</v>
      </c>
      <c r="Q99" s="556">
        <f t="shared" si="10"/>
        <v>0</v>
      </c>
      <c r="R99" s="556"/>
      <c r="S99" s="556"/>
      <c r="T99" s="556"/>
      <c r="U99" s="556"/>
      <c r="V99" s="556"/>
      <c r="W99" s="556"/>
      <c r="X99" s="556"/>
      <c r="Y99" s="556"/>
      <c r="Z99" s="556">
        <f t="shared" si="11"/>
        <v>0</v>
      </c>
    </row>
    <row r="100" spans="1:26" s="26" customFormat="1" x14ac:dyDescent="0.25">
      <c r="A100" s="588">
        <v>79</v>
      </c>
      <c r="B100" s="604" t="s">
        <v>214</v>
      </c>
      <c r="C100" s="30" t="s">
        <v>215</v>
      </c>
      <c r="D100" s="556">
        <v>1032</v>
      </c>
      <c r="E100" s="556">
        <v>28</v>
      </c>
      <c r="F100" s="556">
        <v>150</v>
      </c>
      <c r="G100" s="556">
        <f t="shared" si="8"/>
        <v>0</v>
      </c>
      <c r="H100" s="556">
        <v>0</v>
      </c>
      <c r="I100" s="556">
        <v>0</v>
      </c>
      <c r="J100" s="556">
        <v>0</v>
      </c>
      <c r="K100" s="556">
        <f t="shared" si="9"/>
        <v>1210</v>
      </c>
      <c r="L100" s="556">
        <v>0</v>
      </c>
      <c r="M100" s="556">
        <v>0</v>
      </c>
      <c r="N100" s="556">
        <v>0</v>
      </c>
      <c r="O100" s="556">
        <v>0</v>
      </c>
      <c r="P100" s="556">
        <v>0</v>
      </c>
      <c r="Q100" s="556">
        <f t="shared" si="10"/>
        <v>0</v>
      </c>
      <c r="R100" s="556"/>
      <c r="S100" s="556"/>
      <c r="T100" s="556"/>
      <c r="U100" s="556"/>
      <c r="V100" s="556"/>
      <c r="W100" s="556"/>
      <c r="X100" s="556"/>
      <c r="Y100" s="556"/>
      <c r="Z100" s="556">
        <f t="shared" si="11"/>
        <v>0</v>
      </c>
    </row>
    <row r="101" spans="1:26" s="26" customFormat="1" x14ac:dyDescent="0.25">
      <c r="A101" s="588">
        <v>80</v>
      </c>
      <c r="B101" s="71" t="s">
        <v>216</v>
      </c>
      <c r="C101" s="30" t="s">
        <v>217</v>
      </c>
      <c r="D101" s="556">
        <v>435</v>
      </c>
      <c r="E101" s="556">
        <v>12</v>
      </c>
      <c r="F101" s="556">
        <v>63</v>
      </c>
      <c r="G101" s="556">
        <f t="shared" si="8"/>
        <v>58</v>
      </c>
      <c r="H101" s="556">
        <v>44</v>
      </c>
      <c r="I101" s="556">
        <v>6</v>
      </c>
      <c r="J101" s="556">
        <v>8</v>
      </c>
      <c r="K101" s="556">
        <f t="shared" si="9"/>
        <v>568</v>
      </c>
      <c r="L101" s="556">
        <v>0</v>
      </c>
      <c r="M101" s="556">
        <v>0</v>
      </c>
      <c r="N101" s="556">
        <v>0</v>
      </c>
      <c r="O101" s="556">
        <v>0</v>
      </c>
      <c r="P101" s="556">
        <v>0</v>
      </c>
      <c r="Q101" s="556">
        <f t="shared" si="10"/>
        <v>0</v>
      </c>
      <c r="R101" s="556"/>
      <c r="S101" s="556"/>
      <c r="T101" s="556"/>
      <c r="U101" s="556"/>
      <c r="V101" s="556"/>
      <c r="W101" s="556"/>
      <c r="X101" s="556"/>
      <c r="Y101" s="556"/>
      <c r="Z101" s="556">
        <f t="shared" si="11"/>
        <v>0</v>
      </c>
    </row>
    <row r="102" spans="1:26" s="26" customFormat="1" x14ac:dyDescent="0.25">
      <c r="A102" s="588">
        <v>81</v>
      </c>
      <c r="B102" s="70" t="s">
        <v>218</v>
      </c>
      <c r="C102" s="30" t="s">
        <v>219</v>
      </c>
      <c r="D102" s="556">
        <v>1264</v>
      </c>
      <c r="E102" s="556">
        <v>0</v>
      </c>
      <c r="F102" s="556">
        <v>0</v>
      </c>
      <c r="G102" s="556">
        <f t="shared" si="8"/>
        <v>0</v>
      </c>
      <c r="H102" s="556">
        <v>0</v>
      </c>
      <c r="I102" s="556">
        <v>0</v>
      </c>
      <c r="J102" s="556">
        <v>0</v>
      </c>
      <c r="K102" s="556">
        <f t="shared" si="9"/>
        <v>1264</v>
      </c>
      <c r="L102" s="556">
        <v>0</v>
      </c>
      <c r="M102" s="556">
        <v>0</v>
      </c>
      <c r="N102" s="556">
        <v>0</v>
      </c>
      <c r="O102" s="556">
        <v>0</v>
      </c>
      <c r="P102" s="556">
        <v>0</v>
      </c>
      <c r="Q102" s="556">
        <f t="shared" si="10"/>
        <v>0</v>
      </c>
      <c r="R102" s="556"/>
      <c r="S102" s="556"/>
      <c r="T102" s="556"/>
      <c r="U102" s="556"/>
      <c r="V102" s="556"/>
      <c r="W102" s="556"/>
      <c r="X102" s="556"/>
      <c r="Y102" s="556"/>
      <c r="Z102" s="556">
        <f t="shared" si="11"/>
        <v>0</v>
      </c>
    </row>
    <row r="103" spans="1:26" s="26" customFormat="1" x14ac:dyDescent="0.25">
      <c r="A103" s="588">
        <v>82</v>
      </c>
      <c r="B103" s="70" t="s">
        <v>220</v>
      </c>
      <c r="C103" s="30" t="s">
        <v>221</v>
      </c>
      <c r="D103" s="556">
        <v>974</v>
      </c>
      <c r="E103" s="556">
        <v>0</v>
      </c>
      <c r="F103" s="556">
        <v>142</v>
      </c>
      <c r="G103" s="556">
        <f t="shared" si="8"/>
        <v>0</v>
      </c>
      <c r="H103" s="556">
        <v>0</v>
      </c>
      <c r="I103" s="556">
        <v>0</v>
      </c>
      <c r="J103" s="556">
        <v>0</v>
      </c>
      <c r="K103" s="556">
        <f t="shared" si="9"/>
        <v>1116</v>
      </c>
      <c r="L103" s="556">
        <v>0</v>
      </c>
      <c r="M103" s="556">
        <v>0</v>
      </c>
      <c r="N103" s="556">
        <v>0</v>
      </c>
      <c r="O103" s="556">
        <v>0</v>
      </c>
      <c r="P103" s="556">
        <v>0</v>
      </c>
      <c r="Q103" s="556">
        <f t="shared" si="10"/>
        <v>0</v>
      </c>
      <c r="R103" s="556"/>
      <c r="S103" s="556"/>
      <c r="T103" s="556"/>
      <c r="U103" s="556"/>
      <c r="V103" s="556"/>
      <c r="W103" s="556"/>
      <c r="X103" s="556"/>
      <c r="Y103" s="556"/>
      <c r="Z103" s="556">
        <f t="shared" si="11"/>
        <v>0</v>
      </c>
    </row>
    <row r="104" spans="1:26" s="26" customFormat="1" x14ac:dyDescent="0.25">
      <c r="A104" s="588">
        <v>83</v>
      </c>
      <c r="B104" s="604" t="s">
        <v>222</v>
      </c>
      <c r="C104" s="30" t="s">
        <v>223</v>
      </c>
      <c r="D104" s="556">
        <v>333</v>
      </c>
      <c r="E104" s="556">
        <v>9</v>
      </c>
      <c r="F104" s="556">
        <v>64</v>
      </c>
      <c r="G104" s="556">
        <f t="shared" si="8"/>
        <v>95</v>
      </c>
      <c r="H104" s="556">
        <v>82</v>
      </c>
      <c r="I104" s="556">
        <v>4</v>
      </c>
      <c r="J104" s="556">
        <v>9</v>
      </c>
      <c r="K104" s="556">
        <f t="shared" si="9"/>
        <v>501</v>
      </c>
      <c r="L104" s="556">
        <v>0</v>
      </c>
      <c r="M104" s="556">
        <v>0</v>
      </c>
      <c r="N104" s="556">
        <v>0</v>
      </c>
      <c r="O104" s="556">
        <v>0</v>
      </c>
      <c r="P104" s="556">
        <v>0</v>
      </c>
      <c r="Q104" s="556">
        <f t="shared" si="10"/>
        <v>0</v>
      </c>
      <c r="R104" s="556"/>
      <c r="S104" s="556"/>
      <c r="T104" s="556"/>
      <c r="U104" s="556"/>
      <c r="V104" s="556"/>
      <c r="W104" s="556"/>
      <c r="X104" s="556"/>
      <c r="Y104" s="556"/>
      <c r="Z104" s="556">
        <f t="shared" si="11"/>
        <v>0</v>
      </c>
    </row>
    <row r="105" spans="1:26" s="26" customFormat="1" x14ac:dyDescent="0.25">
      <c r="A105" s="588">
        <v>84</v>
      </c>
      <c r="B105" s="70" t="s">
        <v>224</v>
      </c>
      <c r="C105" s="30" t="s">
        <v>225</v>
      </c>
      <c r="D105" s="556">
        <v>523</v>
      </c>
      <c r="E105" s="556">
        <v>0</v>
      </c>
      <c r="F105" s="556">
        <v>0</v>
      </c>
      <c r="G105" s="556">
        <f t="shared" si="8"/>
        <v>0</v>
      </c>
      <c r="H105" s="556">
        <v>0</v>
      </c>
      <c r="I105" s="556">
        <v>0</v>
      </c>
      <c r="J105" s="556">
        <v>0</v>
      </c>
      <c r="K105" s="556">
        <f t="shared" si="9"/>
        <v>523</v>
      </c>
      <c r="L105" s="556">
        <v>0</v>
      </c>
      <c r="M105" s="556">
        <v>0</v>
      </c>
      <c r="N105" s="556">
        <v>0</v>
      </c>
      <c r="O105" s="556">
        <v>0</v>
      </c>
      <c r="P105" s="556">
        <v>0</v>
      </c>
      <c r="Q105" s="556">
        <f t="shared" si="10"/>
        <v>0</v>
      </c>
      <c r="R105" s="556"/>
      <c r="S105" s="556"/>
      <c r="T105" s="556"/>
      <c r="U105" s="556"/>
      <c r="V105" s="556"/>
      <c r="W105" s="556"/>
      <c r="X105" s="556"/>
      <c r="Y105" s="556"/>
      <c r="Z105" s="556">
        <f t="shared" si="11"/>
        <v>0</v>
      </c>
    </row>
    <row r="106" spans="1:26" s="26" customFormat="1" x14ac:dyDescent="0.25">
      <c r="A106" s="588">
        <v>85</v>
      </c>
      <c r="B106" s="70" t="s">
        <v>226</v>
      </c>
      <c r="C106" s="30" t="s">
        <v>227</v>
      </c>
      <c r="D106" s="556">
        <v>494</v>
      </c>
      <c r="E106" s="556">
        <v>14</v>
      </c>
      <c r="F106" s="556">
        <v>72</v>
      </c>
      <c r="G106" s="556">
        <f t="shared" si="8"/>
        <v>0</v>
      </c>
      <c r="H106" s="556">
        <v>0</v>
      </c>
      <c r="I106" s="556">
        <v>0</v>
      </c>
      <c r="J106" s="556">
        <v>0</v>
      </c>
      <c r="K106" s="556">
        <f t="shared" si="9"/>
        <v>580</v>
      </c>
      <c r="L106" s="556">
        <v>0</v>
      </c>
      <c r="M106" s="556">
        <v>0</v>
      </c>
      <c r="N106" s="556">
        <v>0</v>
      </c>
      <c r="O106" s="556">
        <v>0</v>
      </c>
      <c r="P106" s="556">
        <v>0</v>
      </c>
      <c r="Q106" s="556">
        <f t="shared" si="10"/>
        <v>0</v>
      </c>
      <c r="R106" s="556"/>
      <c r="S106" s="556"/>
      <c r="T106" s="556"/>
      <c r="U106" s="556"/>
      <c r="V106" s="556"/>
      <c r="W106" s="556"/>
      <c r="X106" s="556"/>
      <c r="Y106" s="556"/>
      <c r="Z106" s="556">
        <f t="shared" si="11"/>
        <v>0</v>
      </c>
    </row>
    <row r="107" spans="1:26" s="26" customFormat="1" x14ac:dyDescent="0.25">
      <c r="A107" s="588">
        <v>86</v>
      </c>
      <c r="B107" s="71" t="s">
        <v>32</v>
      </c>
      <c r="C107" s="30" t="s">
        <v>33</v>
      </c>
      <c r="D107" s="556">
        <v>704</v>
      </c>
      <c r="E107" s="556">
        <v>26</v>
      </c>
      <c r="F107" s="556">
        <v>72</v>
      </c>
      <c r="G107" s="556">
        <f t="shared" si="8"/>
        <v>164</v>
      </c>
      <c r="H107" s="556">
        <v>122</v>
      </c>
      <c r="I107" s="556">
        <v>18</v>
      </c>
      <c r="J107" s="556">
        <v>24</v>
      </c>
      <c r="K107" s="556">
        <f t="shared" si="9"/>
        <v>966</v>
      </c>
      <c r="L107" s="556">
        <v>0</v>
      </c>
      <c r="M107" s="556">
        <v>0</v>
      </c>
      <c r="N107" s="556">
        <v>0</v>
      </c>
      <c r="O107" s="556">
        <v>0</v>
      </c>
      <c r="P107" s="556">
        <v>0</v>
      </c>
      <c r="Q107" s="556">
        <f t="shared" si="10"/>
        <v>0</v>
      </c>
      <c r="R107" s="556"/>
      <c r="S107" s="556"/>
      <c r="T107" s="556"/>
      <c r="U107" s="556"/>
      <c r="V107" s="556"/>
      <c r="W107" s="556"/>
      <c r="X107" s="556"/>
      <c r="Y107" s="556"/>
      <c r="Z107" s="556">
        <f t="shared" si="11"/>
        <v>0</v>
      </c>
    </row>
    <row r="108" spans="1:26" s="148" customFormat="1" x14ac:dyDescent="0.25">
      <c r="A108" s="588">
        <v>87</v>
      </c>
      <c r="B108" s="604" t="s">
        <v>228</v>
      </c>
      <c r="C108" s="30" t="s">
        <v>229</v>
      </c>
      <c r="D108" s="556">
        <v>383</v>
      </c>
      <c r="E108" s="556">
        <v>0</v>
      </c>
      <c r="F108" s="556">
        <v>0</v>
      </c>
      <c r="G108" s="556">
        <f t="shared" si="8"/>
        <v>0</v>
      </c>
      <c r="H108" s="556">
        <v>0</v>
      </c>
      <c r="I108" s="556">
        <v>0</v>
      </c>
      <c r="J108" s="556">
        <v>0</v>
      </c>
      <c r="K108" s="556">
        <f t="shared" si="9"/>
        <v>383</v>
      </c>
      <c r="L108" s="556">
        <v>0</v>
      </c>
      <c r="M108" s="556">
        <v>0</v>
      </c>
      <c r="N108" s="556">
        <v>0</v>
      </c>
      <c r="O108" s="556">
        <v>0</v>
      </c>
      <c r="P108" s="556">
        <v>0</v>
      </c>
      <c r="Q108" s="556">
        <f t="shared" si="10"/>
        <v>0</v>
      </c>
      <c r="R108" s="556"/>
      <c r="S108" s="556"/>
      <c r="T108" s="556"/>
      <c r="U108" s="556"/>
      <c r="V108" s="556"/>
      <c r="W108" s="556"/>
      <c r="X108" s="556"/>
      <c r="Y108" s="556"/>
      <c r="Z108" s="556">
        <f t="shared" si="11"/>
        <v>0</v>
      </c>
    </row>
    <row r="109" spans="1:26" s="26" customFormat="1" x14ac:dyDescent="0.25">
      <c r="A109" s="588">
        <v>88</v>
      </c>
      <c r="B109" s="70" t="s">
        <v>230</v>
      </c>
      <c r="C109" s="30" t="s">
        <v>231</v>
      </c>
      <c r="D109" s="556">
        <v>1013</v>
      </c>
      <c r="E109" s="556">
        <v>28</v>
      </c>
      <c r="F109" s="556">
        <v>147</v>
      </c>
      <c r="G109" s="556">
        <f t="shared" si="8"/>
        <v>0</v>
      </c>
      <c r="H109" s="556">
        <v>0</v>
      </c>
      <c r="I109" s="556">
        <v>0</v>
      </c>
      <c r="J109" s="556">
        <v>0</v>
      </c>
      <c r="K109" s="556">
        <f t="shared" si="9"/>
        <v>1188</v>
      </c>
      <c r="L109" s="556">
        <v>0</v>
      </c>
      <c r="M109" s="556">
        <v>0</v>
      </c>
      <c r="N109" s="556">
        <v>0</v>
      </c>
      <c r="O109" s="556">
        <v>0</v>
      </c>
      <c r="P109" s="556">
        <v>0</v>
      </c>
      <c r="Q109" s="556">
        <f t="shared" si="10"/>
        <v>0</v>
      </c>
      <c r="R109" s="556"/>
      <c r="S109" s="556"/>
      <c r="T109" s="556"/>
      <c r="U109" s="556"/>
      <c r="V109" s="556"/>
      <c r="W109" s="556"/>
      <c r="X109" s="556"/>
      <c r="Y109" s="556"/>
      <c r="Z109" s="556">
        <f t="shared" si="11"/>
        <v>0</v>
      </c>
    </row>
    <row r="110" spans="1:26" s="26" customFormat="1" x14ac:dyDescent="0.25">
      <c r="A110" s="588">
        <v>89</v>
      </c>
      <c r="B110" s="70" t="s">
        <v>232</v>
      </c>
      <c r="C110" s="30" t="s">
        <v>233</v>
      </c>
      <c r="D110" s="556">
        <v>0</v>
      </c>
      <c r="E110" s="556">
        <v>0</v>
      </c>
      <c r="F110" s="556">
        <v>0</v>
      </c>
      <c r="G110" s="556">
        <f t="shared" si="8"/>
        <v>0</v>
      </c>
      <c r="H110" s="556">
        <v>0</v>
      </c>
      <c r="I110" s="556">
        <v>0</v>
      </c>
      <c r="J110" s="556">
        <v>0</v>
      </c>
      <c r="K110" s="556">
        <f t="shared" si="9"/>
        <v>0</v>
      </c>
      <c r="L110" s="556">
        <v>0</v>
      </c>
      <c r="M110" s="556">
        <v>0</v>
      </c>
      <c r="N110" s="556">
        <v>0</v>
      </c>
      <c r="O110" s="556">
        <v>0</v>
      </c>
      <c r="P110" s="556">
        <v>0</v>
      </c>
      <c r="Q110" s="556">
        <f t="shared" si="10"/>
        <v>0</v>
      </c>
      <c r="R110" s="556"/>
      <c r="S110" s="556"/>
      <c r="T110" s="556"/>
      <c r="U110" s="556"/>
      <c r="V110" s="556"/>
      <c r="W110" s="556"/>
      <c r="X110" s="556"/>
      <c r="Y110" s="556"/>
      <c r="Z110" s="556">
        <f t="shared" si="11"/>
        <v>0</v>
      </c>
    </row>
    <row r="111" spans="1:26" s="26" customFormat="1" x14ac:dyDescent="0.25">
      <c r="A111" s="588">
        <v>90</v>
      </c>
      <c r="B111" s="70" t="s">
        <v>234</v>
      </c>
      <c r="C111" s="30" t="s">
        <v>235</v>
      </c>
      <c r="D111" s="556">
        <v>0</v>
      </c>
      <c r="E111" s="556">
        <v>0</v>
      </c>
      <c r="F111" s="556">
        <v>0</v>
      </c>
      <c r="G111" s="556">
        <f t="shared" si="8"/>
        <v>0</v>
      </c>
      <c r="H111" s="556">
        <v>0</v>
      </c>
      <c r="I111" s="556">
        <v>0</v>
      </c>
      <c r="J111" s="556">
        <v>0</v>
      </c>
      <c r="K111" s="556">
        <f t="shared" si="9"/>
        <v>0</v>
      </c>
      <c r="L111" s="556">
        <v>0</v>
      </c>
      <c r="M111" s="556">
        <v>0</v>
      </c>
      <c r="N111" s="556">
        <v>0</v>
      </c>
      <c r="O111" s="556">
        <v>0</v>
      </c>
      <c r="P111" s="556">
        <v>0</v>
      </c>
      <c r="Q111" s="556">
        <f t="shared" si="10"/>
        <v>0</v>
      </c>
      <c r="R111" s="556"/>
      <c r="S111" s="556"/>
      <c r="T111" s="556"/>
      <c r="U111" s="556"/>
      <c r="V111" s="556"/>
      <c r="W111" s="556"/>
      <c r="X111" s="556"/>
      <c r="Y111" s="556"/>
      <c r="Z111" s="556">
        <f t="shared" si="11"/>
        <v>0</v>
      </c>
    </row>
    <row r="112" spans="1:26" s="26" customFormat="1" x14ac:dyDescent="0.25">
      <c r="A112" s="588">
        <v>91</v>
      </c>
      <c r="B112" s="604" t="s">
        <v>236</v>
      </c>
      <c r="C112" s="30" t="s">
        <v>237</v>
      </c>
      <c r="D112" s="556">
        <v>0</v>
      </c>
      <c r="E112" s="556">
        <v>0</v>
      </c>
      <c r="F112" s="556">
        <v>0</v>
      </c>
      <c r="G112" s="556">
        <f t="shared" si="8"/>
        <v>0</v>
      </c>
      <c r="H112" s="556">
        <v>0</v>
      </c>
      <c r="I112" s="556">
        <v>0</v>
      </c>
      <c r="J112" s="556">
        <v>0</v>
      </c>
      <c r="K112" s="556">
        <f t="shared" si="9"/>
        <v>0</v>
      </c>
      <c r="L112" s="556">
        <v>0</v>
      </c>
      <c r="M112" s="556">
        <v>0</v>
      </c>
      <c r="N112" s="556">
        <v>0</v>
      </c>
      <c r="O112" s="556">
        <v>0</v>
      </c>
      <c r="P112" s="556">
        <v>0</v>
      </c>
      <c r="Q112" s="556">
        <f t="shared" si="10"/>
        <v>0</v>
      </c>
      <c r="R112" s="556"/>
      <c r="S112" s="556"/>
      <c r="T112" s="556"/>
      <c r="U112" s="556"/>
      <c r="V112" s="556"/>
      <c r="W112" s="556"/>
      <c r="X112" s="556"/>
      <c r="Y112" s="556"/>
      <c r="Z112" s="556">
        <f t="shared" si="11"/>
        <v>0</v>
      </c>
    </row>
    <row r="113" spans="1:26" s="26" customFormat="1" x14ac:dyDescent="0.25">
      <c r="A113" s="588">
        <v>92</v>
      </c>
      <c r="B113" s="604" t="s">
        <v>238</v>
      </c>
      <c r="C113" s="30" t="s">
        <v>239</v>
      </c>
      <c r="D113" s="556">
        <v>0</v>
      </c>
      <c r="E113" s="556">
        <v>0</v>
      </c>
      <c r="F113" s="556">
        <v>0</v>
      </c>
      <c r="G113" s="556">
        <f t="shared" si="8"/>
        <v>0</v>
      </c>
      <c r="H113" s="556">
        <v>0</v>
      </c>
      <c r="I113" s="556">
        <v>0</v>
      </c>
      <c r="J113" s="556">
        <v>0</v>
      </c>
      <c r="K113" s="556">
        <f t="shared" si="9"/>
        <v>0</v>
      </c>
      <c r="L113" s="556">
        <v>0</v>
      </c>
      <c r="M113" s="556">
        <v>0</v>
      </c>
      <c r="N113" s="556">
        <v>0</v>
      </c>
      <c r="O113" s="556">
        <v>0</v>
      </c>
      <c r="P113" s="556">
        <v>0</v>
      </c>
      <c r="Q113" s="556">
        <f t="shared" si="10"/>
        <v>0</v>
      </c>
      <c r="R113" s="556"/>
      <c r="S113" s="556"/>
      <c r="T113" s="556"/>
      <c r="U113" s="556"/>
      <c r="V113" s="556"/>
      <c r="W113" s="556"/>
      <c r="X113" s="556"/>
      <c r="Y113" s="556"/>
      <c r="Z113" s="556">
        <f t="shared" si="11"/>
        <v>0</v>
      </c>
    </row>
    <row r="114" spans="1:26" s="26" customFormat="1" x14ac:dyDescent="0.25">
      <c r="A114" s="588">
        <v>93</v>
      </c>
      <c r="B114" s="604" t="s">
        <v>240</v>
      </c>
      <c r="C114" s="30" t="s">
        <v>241</v>
      </c>
      <c r="D114" s="556">
        <v>0</v>
      </c>
      <c r="E114" s="556">
        <v>0</v>
      </c>
      <c r="F114" s="556">
        <v>0</v>
      </c>
      <c r="G114" s="556">
        <f t="shared" si="8"/>
        <v>0</v>
      </c>
      <c r="H114" s="556">
        <v>0</v>
      </c>
      <c r="I114" s="556">
        <v>0</v>
      </c>
      <c r="J114" s="556">
        <v>0</v>
      </c>
      <c r="K114" s="556">
        <f t="shared" si="9"/>
        <v>0</v>
      </c>
      <c r="L114" s="556">
        <v>0</v>
      </c>
      <c r="M114" s="556">
        <v>0</v>
      </c>
      <c r="N114" s="556">
        <v>0</v>
      </c>
      <c r="O114" s="556">
        <v>0</v>
      </c>
      <c r="P114" s="556">
        <v>0</v>
      </c>
      <c r="Q114" s="556">
        <f t="shared" si="10"/>
        <v>0</v>
      </c>
      <c r="R114" s="556"/>
      <c r="S114" s="556"/>
      <c r="T114" s="556"/>
      <c r="U114" s="556"/>
      <c r="V114" s="556"/>
      <c r="W114" s="556"/>
      <c r="X114" s="556"/>
      <c r="Y114" s="556"/>
      <c r="Z114" s="556">
        <f t="shared" si="11"/>
        <v>0</v>
      </c>
    </row>
    <row r="115" spans="1:26" s="26" customFormat="1" x14ac:dyDescent="0.25">
      <c r="A115" s="588">
        <v>94</v>
      </c>
      <c r="B115" s="604" t="s">
        <v>242</v>
      </c>
      <c r="C115" s="30" t="s">
        <v>243</v>
      </c>
      <c r="D115" s="556">
        <v>0</v>
      </c>
      <c r="E115" s="556">
        <v>0</v>
      </c>
      <c r="F115" s="556">
        <v>0</v>
      </c>
      <c r="G115" s="556">
        <f t="shared" si="8"/>
        <v>0</v>
      </c>
      <c r="H115" s="556">
        <v>0</v>
      </c>
      <c r="I115" s="556">
        <v>0</v>
      </c>
      <c r="J115" s="556">
        <v>0</v>
      </c>
      <c r="K115" s="556">
        <f t="shared" si="9"/>
        <v>0</v>
      </c>
      <c r="L115" s="556">
        <v>0</v>
      </c>
      <c r="M115" s="556">
        <v>0</v>
      </c>
      <c r="N115" s="556">
        <v>0</v>
      </c>
      <c r="O115" s="556">
        <v>0</v>
      </c>
      <c r="P115" s="556">
        <v>0</v>
      </c>
      <c r="Q115" s="556">
        <f t="shared" si="10"/>
        <v>0</v>
      </c>
      <c r="R115" s="556"/>
      <c r="S115" s="556"/>
      <c r="T115" s="556"/>
      <c r="U115" s="556"/>
      <c r="V115" s="556"/>
      <c r="W115" s="556"/>
      <c r="X115" s="556"/>
      <c r="Y115" s="556"/>
      <c r="Z115" s="556">
        <f t="shared" si="11"/>
        <v>0</v>
      </c>
    </row>
    <row r="116" spans="1:26" s="26" customFormat="1" x14ac:dyDescent="0.25">
      <c r="A116" s="588">
        <v>95</v>
      </c>
      <c r="B116" s="604" t="s">
        <v>244</v>
      </c>
      <c r="C116" s="30" t="s">
        <v>245</v>
      </c>
      <c r="D116" s="556">
        <v>0</v>
      </c>
      <c r="E116" s="556">
        <v>0</v>
      </c>
      <c r="F116" s="556">
        <v>0</v>
      </c>
      <c r="G116" s="556">
        <f t="shared" si="8"/>
        <v>0</v>
      </c>
      <c r="H116" s="556">
        <v>0</v>
      </c>
      <c r="I116" s="556">
        <v>0</v>
      </c>
      <c r="J116" s="556">
        <v>0</v>
      </c>
      <c r="K116" s="556">
        <f t="shared" si="9"/>
        <v>0</v>
      </c>
      <c r="L116" s="556">
        <v>0</v>
      </c>
      <c r="M116" s="556">
        <v>0</v>
      </c>
      <c r="N116" s="556">
        <v>0</v>
      </c>
      <c r="O116" s="556">
        <v>0</v>
      </c>
      <c r="P116" s="556">
        <v>0</v>
      </c>
      <c r="Q116" s="556">
        <f t="shared" si="10"/>
        <v>0</v>
      </c>
      <c r="R116" s="556"/>
      <c r="S116" s="556"/>
      <c r="T116" s="556"/>
      <c r="U116" s="556"/>
      <c r="V116" s="556"/>
      <c r="W116" s="556"/>
      <c r="X116" s="556"/>
      <c r="Y116" s="556"/>
      <c r="Z116" s="556">
        <f t="shared" si="11"/>
        <v>0</v>
      </c>
    </row>
    <row r="117" spans="1:26" s="26" customFormat="1" x14ac:dyDescent="0.25">
      <c r="A117" s="588">
        <v>96</v>
      </c>
      <c r="B117" s="591" t="s">
        <v>246</v>
      </c>
      <c r="C117" s="590" t="s">
        <v>247</v>
      </c>
      <c r="D117" s="556">
        <v>0</v>
      </c>
      <c r="E117" s="556">
        <v>0</v>
      </c>
      <c r="F117" s="556">
        <v>0</v>
      </c>
      <c r="G117" s="556">
        <f t="shared" si="8"/>
        <v>0</v>
      </c>
      <c r="H117" s="556">
        <v>0</v>
      </c>
      <c r="I117" s="556">
        <v>0</v>
      </c>
      <c r="J117" s="556">
        <v>0</v>
      </c>
      <c r="K117" s="556">
        <f t="shared" si="9"/>
        <v>0</v>
      </c>
      <c r="L117" s="556">
        <v>0</v>
      </c>
      <c r="M117" s="556">
        <v>0</v>
      </c>
      <c r="N117" s="556">
        <v>0</v>
      </c>
      <c r="O117" s="556">
        <v>0</v>
      </c>
      <c r="P117" s="556">
        <v>0</v>
      </c>
      <c r="Q117" s="556">
        <f t="shared" si="10"/>
        <v>0</v>
      </c>
      <c r="R117" s="556"/>
      <c r="S117" s="556"/>
      <c r="T117" s="556"/>
      <c r="U117" s="556"/>
      <c r="V117" s="556"/>
      <c r="W117" s="556"/>
      <c r="X117" s="556"/>
      <c r="Y117" s="556"/>
      <c r="Z117" s="556">
        <f t="shared" si="11"/>
        <v>0</v>
      </c>
    </row>
    <row r="118" spans="1:26" s="26" customFormat="1" x14ac:dyDescent="0.25">
      <c r="A118" s="588">
        <v>97</v>
      </c>
      <c r="B118" s="71" t="s">
        <v>248</v>
      </c>
      <c r="C118" s="30" t="s">
        <v>249</v>
      </c>
      <c r="D118" s="556">
        <v>0</v>
      </c>
      <c r="E118" s="556">
        <v>0</v>
      </c>
      <c r="F118" s="556">
        <v>0</v>
      </c>
      <c r="G118" s="556">
        <f t="shared" si="8"/>
        <v>0</v>
      </c>
      <c r="H118" s="556">
        <v>0</v>
      </c>
      <c r="I118" s="556">
        <v>0</v>
      </c>
      <c r="J118" s="556">
        <v>0</v>
      </c>
      <c r="K118" s="556">
        <f t="shared" si="9"/>
        <v>0</v>
      </c>
      <c r="L118" s="556">
        <v>0</v>
      </c>
      <c r="M118" s="556">
        <v>0</v>
      </c>
      <c r="N118" s="556">
        <v>0</v>
      </c>
      <c r="O118" s="556">
        <v>0</v>
      </c>
      <c r="P118" s="556">
        <v>0</v>
      </c>
      <c r="Q118" s="556">
        <f t="shared" si="10"/>
        <v>0</v>
      </c>
      <c r="R118" s="556"/>
      <c r="S118" s="556"/>
      <c r="T118" s="556"/>
      <c r="U118" s="556"/>
      <c r="V118" s="556"/>
      <c r="W118" s="556"/>
      <c r="X118" s="556"/>
      <c r="Y118" s="556"/>
      <c r="Z118" s="556">
        <f t="shared" si="11"/>
        <v>0</v>
      </c>
    </row>
    <row r="119" spans="1:26" s="26" customFormat="1" x14ac:dyDescent="0.25">
      <c r="A119" s="588">
        <v>98</v>
      </c>
      <c r="B119" s="604" t="s">
        <v>250</v>
      </c>
      <c r="C119" s="30" t="s">
        <v>251</v>
      </c>
      <c r="D119" s="556">
        <v>0</v>
      </c>
      <c r="E119" s="556">
        <v>0</v>
      </c>
      <c r="F119" s="556">
        <v>0</v>
      </c>
      <c r="G119" s="556">
        <f t="shared" si="8"/>
        <v>0</v>
      </c>
      <c r="H119" s="556">
        <v>0</v>
      </c>
      <c r="I119" s="556">
        <v>0</v>
      </c>
      <c r="J119" s="556">
        <v>0</v>
      </c>
      <c r="K119" s="556">
        <f t="shared" si="9"/>
        <v>0</v>
      </c>
      <c r="L119" s="556">
        <v>0</v>
      </c>
      <c r="M119" s="556">
        <v>0</v>
      </c>
      <c r="N119" s="556">
        <v>0</v>
      </c>
      <c r="O119" s="556">
        <v>0</v>
      </c>
      <c r="P119" s="556">
        <v>0</v>
      </c>
      <c r="Q119" s="556">
        <f t="shared" si="10"/>
        <v>0</v>
      </c>
      <c r="R119" s="556"/>
      <c r="S119" s="556"/>
      <c r="T119" s="556"/>
      <c r="U119" s="556"/>
      <c r="V119" s="556"/>
      <c r="W119" s="556"/>
      <c r="X119" s="556"/>
      <c r="Y119" s="556"/>
      <c r="Z119" s="556">
        <f t="shared" si="11"/>
        <v>0</v>
      </c>
    </row>
    <row r="120" spans="1:26" s="26" customFormat="1" x14ac:dyDescent="0.25">
      <c r="A120" s="588">
        <v>99</v>
      </c>
      <c r="B120" s="70" t="s">
        <v>252</v>
      </c>
      <c r="C120" s="119" t="s">
        <v>253</v>
      </c>
      <c r="D120" s="556">
        <v>0</v>
      </c>
      <c r="E120" s="556">
        <v>0</v>
      </c>
      <c r="F120" s="556">
        <v>0</v>
      </c>
      <c r="G120" s="556">
        <f t="shared" si="8"/>
        <v>0</v>
      </c>
      <c r="H120" s="556">
        <v>0</v>
      </c>
      <c r="I120" s="556">
        <v>0</v>
      </c>
      <c r="J120" s="556">
        <v>0</v>
      </c>
      <c r="K120" s="556">
        <f t="shared" si="9"/>
        <v>0</v>
      </c>
      <c r="L120" s="556">
        <v>0</v>
      </c>
      <c r="M120" s="556">
        <v>0</v>
      </c>
      <c r="N120" s="556">
        <v>0</v>
      </c>
      <c r="O120" s="556">
        <v>0</v>
      </c>
      <c r="P120" s="556">
        <v>0</v>
      </c>
      <c r="Q120" s="556">
        <f t="shared" si="10"/>
        <v>0</v>
      </c>
      <c r="R120" s="556"/>
      <c r="S120" s="556"/>
      <c r="T120" s="556"/>
      <c r="U120" s="556"/>
      <c r="V120" s="556"/>
      <c r="W120" s="556"/>
      <c r="X120" s="556"/>
      <c r="Y120" s="556"/>
      <c r="Z120" s="556">
        <f t="shared" si="11"/>
        <v>0</v>
      </c>
    </row>
    <row r="121" spans="1:26" s="26" customFormat="1" x14ac:dyDescent="0.25">
      <c r="A121" s="588">
        <v>100</v>
      </c>
      <c r="B121" s="604" t="s">
        <v>254</v>
      </c>
      <c r="C121" s="30" t="s">
        <v>255</v>
      </c>
      <c r="D121" s="556">
        <v>0</v>
      </c>
      <c r="E121" s="556">
        <v>0</v>
      </c>
      <c r="F121" s="556">
        <v>0</v>
      </c>
      <c r="G121" s="556">
        <f t="shared" si="8"/>
        <v>0</v>
      </c>
      <c r="H121" s="556">
        <v>0</v>
      </c>
      <c r="I121" s="556">
        <v>0</v>
      </c>
      <c r="J121" s="556">
        <v>0</v>
      </c>
      <c r="K121" s="556">
        <f t="shared" si="9"/>
        <v>0</v>
      </c>
      <c r="L121" s="556">
        <v>0</v>
      </c>
      <c r="M121" s="556">
        <v>0</v>
      </c>
      <c r="N121" s="556">
        <v>0</v>
      </c>
      <c r="O121" s="556">
        <v>0</v>
      </c>
      <c r="P121" s="556">
        <v>0</v>
      </c>
      <c r="Q121" s="556">
        <f t="shared" si="10"/>
        <v>0</v>
      </c>
      <c r="R121" s="556"/>
      <c r="S121" s="556"/>
      <c r="T121" s="556"/>
      <c r="U121" s="556"/>
      <c r="V121" s="556"/>
      <c r="W121" s="556"/>
      <c r="X121" s="556"/>
      <c r="Y121" s="556"/>
      <c r="Z121" s="556">
        <f t="shared" si="11"/>
        <v>0</v>
      </c>
    </row>
    <row r="122" spans="1:26" s="26" customFormat="1" x14ac:dyDescent="0.25">
      <c r="A122" s="588">
        <v>101</v>
      </c>
      <c r="B122" s="71" t="s">
        <v>256</v>
      </c>
      <c r="C122" s="30" t="s">
        <v>257</v>
      </c>
      <c r="D122" s="556">
        <v>0</v>
      </c>
      <c r="E122" s="556">
        <v>0</v>
      </c>
      <c r="F122" s="556">
        <v>0</v>
      </c>
      <c r="G122" s="556">
        <f t="shared" si="8"/>
        <v>0</v>
      </c>
      <c r="H122" s="556">
        <v>0</v>
      </c>
      <c r="I122" s="556">
        <v>0</v>
      </c>
      <c r="J122" s="556">
        <v>0</v>
      </c>
      <c r="K122" s="556">
        <f t="shared" si="9"/>
        <v>0</v>
      </c>
      <c r="L122" s="556">
        <v>0</v>
      </c>
      <c r="M122" s="556">
        <v>0</v>
      </c>
      <c r="N122" s="556">
        <v>0</v>
      </c>
      <c r="O122" s="556">
        <v>0</v>
      </c>
      <c r="P122" s="556">
        <v>0</v>
      </c>
      <c r="Q122" s="556">
        <f t="shared" si="10"/>
        <v>0</v>
      </c>
      <c r="R122" s="556"/>
      <c r="S122" s="556"/>
      <c r="T122" s="556"/>
      <c r="U122" s="556"/>
      <c r="V122" s="556"/>
      <c r="W122" s="556"/>
      <c r="X122" s="556"/>
      <c r="Y122" s="556"/>
      <c r="Z122" s="556">
        <f t="shared" si="11"/>
        <v>0</v>
      </c>
    </row>
    <row r="123" spans="1:26" s="26" customFormat="1" x14ac:dyDescent="0.25">
      <c r="A123" s="588">
        <v>102</v>
      </c>
      <c r="B123" s="70" t="s">
        <v>258</v>
      </c>
      <c r="C123" s="30" t="s">
        <v>259</v>
      </c>
      <c r="D123" s="556">
        <v>0</v>
      </c>
      <c r="E123" s="556">
        <v>0</v>
      </c>
      <c r="F123" s="556">
        <v>0</v>
      </c>
      <c r="G123" s="556">
        <f t="shared" si="8"/>
        <v>0</v>
      </c>
      <c r="H123" s="556">
        <v>0</v>
      </c>
      <c r="I123" s="556">
        <v>0</v>
      </c>
      <c r="J123" s="556">
        <v>0</v>
      </c>
      <c r="K123" s="556">
        <f t="shared" si="9"/>
        <v>0</v>
      </c>
      <c r="L123" s="556">
        <v>0</v>
      </c>
      <c r="M123" s="556">
        <v>0</v>
      </c>
      <c r="N123" s="556">
        <v>0</v>
      </c>
      <c r="O123" s="556">
        <v>0</v>
      </c>
      <c r="P123" s="556">
        <v>0</v>
      </c>
      <c r="Q123" s="556">
        <f t="shared" si="10"/>
        <v>0</v>
      </c>
      <c r="R123" s="556"/>
      <c r="S123" s="556"/>
      <c r="T123" s="556"/>
      <c r="U123" s="556"/>
      <c r="V123" s="556"/>
      <c r="W123" s="556"/>
      <c r="X123" s="556"/>
      <c r="Y123" s="556"/>
      <c r="Z123" s="556">
        <f t="shared" si="11"/>
        <v>0</v>
      </c>
    </row>
    <row r="124" spans="1:26" s="26" customFormat="1" x14ac:dyDescent="0.25">
      <c r="A124" s="588">
        <v>103</v>
      </c>
      <c r="B124" s="592" t="s">
        <v>542</v>
      </c>
      <c r="C124" s="590" t="s">
        <v>543</v>
      </c>
      <c r="D124" s="556">
        <v>0</v>
      </c>
      <c r="E124" s="556">
        <v>0</v>
      </c>
      <c r="F124" s="556">
        <v>0</v>
      </c>
      <c r="G124" s="556">
        <f t="shared" si="8"/>
        <v>0</v>
      </c>
      <c r="H124" s="556">
        <v>0</v>
      </c>
      <c r="I124" s="556">
        <v>0</v>
      </c>
      <c r="J124" s="556">
        <v>0</v>
      </c>
      <c r="K124" s="556">
        <f t="shared" si="9"/>
        <v>0</v>
      </c>
      <c r="L124" s="556">
        <v>0</v>
      </c>
      <c r="M124" s="556">
        <v>0</v>
      </c>
      <c r="N124" s="556">
        <v>0</v>
      </c>
      <c r="O124" s="556">
        <v>0</v>
      </c>
      <c r="P124" s="556">
        <v>0</v>
      </c>
      <c r="Q124" s="556">
        <f t="shared" si="10"/>
        <v>0</v>
      </c>
      <c r="R124" s="556"/>
      <c r="S124" s="556"/>
      <c r="T124" s="556"/>
      <c r="U124" s="556"/>
      <c r="V124" s="556"/>
      <c r="W124" s="556"/>
      <c r="X124" s="556"/>
      <c r="Y124" s="556"/>
      <c r="Z124" s="556">
        <f t="shared" si="11"/>
        <v>0</v>
      </c>
    </row>
    <row r="125" spans="1:26" s="26" customFormat="1" x14ac:dyDescent="0.25">
      <c r="A125" s="588">
        <v>104</v>
      </c>
      <c r="B125" s="71" t="s">
        <v>260</v>
      </c>
      <c r="C125" s="30" t="s">
        <v>261</v>
      </c>
      <c r="D125" s="556">
        <v>0</v>
      </c>
      <c r="E125" s="556">
        <v>0</v>
      </c>
      <c r="F125" s="556">
        <v>0</v>
      </c>
      <c r="G125" s="556">
        <f t="shared" si="8"/>
        <v>0</v>
      </c>
      <c r="H125" s="556">
        <v>0</v>
      </c>
      <c r="I125" s="556">
        <v>0</v>
      </c>
      <c r="J125" s="556">
        <v>0</v>
      </c>
      <c r="K125" s="556">
        <f t="shared" si="9"/>
        <v>0</v>
      </c>
      <c r="L125" s="556">
        <v>0</v>
      </c>
      <c r="M125" s="556">
        <v>0</v>
      </c>
      <c r="N125" s="556">
        <v>0</v>
      </c>
      <c r="O125" s="556">
        <v>0</v>
      </c>
      <c r="P125" s="556">
        <v>0</v>
      </c>
      <c r="Q125" s="556">
        <f t="shared" si="10"/>
        <v>0</v>
      </c>
      <c r="R125" s="556"/>
      <c r="S125" s="556"/>
      <c r="T125" s="556"/>
      <c r="U125" s="556"/>
      <c r="V125" s="556"/>
      <c r="W125" s="556"/>
      <c r="X125" s="556"/>
      <c r="Y125" s="556"/>
      <c r="Z125" s="556">
        <f t="shared" si="11"/>
        <v>0</v>
      </c>
    </row>
    <row r="126" spans="1:26" s="26" customFormat="1" x14ac:dyDescent="0.25">
      <c r="A126" s="588">
        <v>105</v>
      </c>
      <c r="B126" s="604" t="s">
        <v>262</v>
      </c>
      <c r="C126" s="30" t="s">
        <v>263</v>
      </c>
      <c r="D126" s="556">
        <v>0</v>
      </c>
      <c r="E126" s="556">
        <v>0</v>
      </c>
      <c r="F126" s="556">
        <v>0</v>
      </c>
      <c r="G126" s="556">
        <f t="shared" si="8"/>
        <v>0</v>
      </c>
      <c r="H126" s="556">
        <v>0</v>
      </c>
      <c r="I126" s="556">
        <v>0</v>
      </c>
      <c r="J126" s="556">
        <v>0</v>
      </c>
      <c r="K126" s="556">
        <f t="shared" si="9"/>
        <v>0</v>
      </c>
      <c r="L126" s="556">
        <v>0</v>
      </c>
      <c r="M126" s="556">
        <v>0</v>
      </c>
      <c r="N126" s="556">
        <v>0</v>
      </c>
      <c r="O126" s="556">
        <v>0</v>
      </c>
      <c r="P126" s="556">
        <v>0</v>
      </c>
      <c r="Q126" s="556">
        <f t="shared" si="10"/>
        <v>0</v>
      </c>
      <c r="R126" s="556"/>
      <c r="S126" s="556"/>
      <c r="T126" s="556"/>
      <c r="U126" s="556"/>
      <c r="V126" s="556"/>
      <c r="W126" s="556"/>
      <c r="X126" s="556"/>
      <c r="Y126" s="556"/>
      <c r="Z126" s="556">
        <f t="shared" si="11"/>
        <v>0</v>
      </c>
    </row>
    <row r="127" spans="1:26" s="26" customFormat="1" x14ac:dyDescent="0.25">
      <c r="A127" s="588">
        <v>106</v>
      </c>
      <c r="B127" s="604" t="s">
        <v>264</v>
      </c>
      <c r="C127" s="120" t="s">
        <v>265</v>
      </c>
      <c r="D127" s="556">
        <v>0</v>
      </c>
      <c r="E127" s="556">
        <v>0</v>
      </c>
      <c r="F127" s="556">
        <v>0</v>
      </c>
      <c r="G127" s="556">
        <f t="shared" si="8"/>
        <v>0</v>
      </c>
      <c r="H127" s="556">
        <v>0</v>
      </c>
      <c r="I127" s="556">
        <v>0</v>
      </c>
      <c r="J127" s="556">
        <v>0</v>
      </c>
      <c r="K127" s="556">
        <f t="shared" si="9"/>
        <v>0</v>
      </c>
      <c r="L127" s="556">
        <v>0</v>
      </c>
      <c r="M127" s="556">
        <v>0</v>
      </c>
      <c r="N127" s="556">
        <v>0</v>
      </c>
      <c r="O127" s="556">
        <v>0</v>
      </c>
      <c r="P127" s="556">
        <v>0</v>
      </c>
      <c r="Q127" s="556">
        <f t="shared" si="10"/>
        <v>0</v>
      </c>
      <c r="R127" s="556"/>
      <c r="S127" s="556"/>
      <c r="T127" s="556"/>
      <c r="U127" s="556"/>
      <c r="V127" s="556"/>
      <c r="W127" s="556"/>
      <c r="X127" s="556"/>
      <c r="Y127" s="556"/>
      <c r="Z127" s="556">
        <f t="shared" si="11"/>
        <v>0</v>
      </c>
    </row>
    <row r="128" spans="1:26" s="26" customFormat="1" x14ac:dyDescent="0.25">
      <c r="A128" s="588">
        <v>107</v>
      </c>
      <c r="B128" s="604" t="s">
        <v>266</v>
      </c>
      <c r="C128" s="30" t="s">
        <v>267</v>
      </c>
      <c r="D128" s="556">
        <v>2300</v>
      </c>
      <c r="E128" s="556">
        <v>299</v>
      </c>
      <c r="F128" s="556">
        <v>576</v>
      </c>
      <c r="G128" s="556">
        <f t="shared" si="8"/>
        <v>540</v>
      </c>
      <c r="H128" s="556">
        <v>431</v>
      </c>
      <c r="I128" s="556">
        <v>53</v>
      </c>
      <c r="J128" s="556">
        <v>56</v>
      </c>
      <c r="K128" s="556">
        <f t="shared" si="9"/>
        <v>3715</v>
      </c>
      <c r="L128" s="556">
        <v>579</v>
      </c>
      <c r="M128" s="556">
        <v>2358</v>
      </c>
      <c r="N128" s="556">
        <v>8265</v>
      </c>
      <c r="O128" s="556">
        <v>5274</v>
      </c>
      <c r="P128" s="556">
        <v>381</v>
      </c>
      <c r="Q128" s="556">
        <f t="shared" si="10"/>
        <v>16857</v>
      </c>
      <c r="R128" s="556"/>
      <c r="S128" s="556"/>
      <c r="T128" s="556"/>
      <c r="U128" s="556"/>
      <c r="V128" s="556"/>
      <c r="W128" s="556"/>
      <c r="X128" s="556"/>
      <c r="Y128" s="556"/>
      <c r="Z128" s="556">
        <f t="shared" si="11"/>
        <v>0</v>
      </c>
    </row>
    <row r="129" spans="1:26" s="26" customFormat="1" x14ac:dyDescent="0.25">
      <c r="A129" s="588">
        <v>108</v>
      </c>
      <c r="B129" s="604" t="s">
        <v>268</v>
      </c>
      <c r="C129" s="30" t="s">
        <v>269</v>
      </c>
      <c r="D129" s="556">
        <v>3600</v>
      </c>
      <c r="E129" s="556">
        <v>3000</v>
      </c>
      <c r="F129" s="556">
        <v>2250</v>
      </c>
      <c r="G129" s="556">
        <f t="shared" si="8"/>
        <v>1545</v>
      </c>
      <c r="H129" s="556">
        <v>821</v>
      </c>
      <c r="I129" s="556">
        <v>94</v>
      </c>
      <c r="J129" s="556">
        <v>630</v>
      </c>
      <c r="K129" s="556">
        <f t="shared" si="9"/>
        <v>10395</v>
      </c>
      <c r="L129" s="556">
        <v>344</v>
      </c>
      <c r="M129" s="556">
        <v>876</v>
      </c>
      <c r="N129" s="556">
        <v>8621</v>
      </c>
      <c r="O129" s="556">
        <v>7701</v>
      </c>
      <c r="P129" s="556">
        <v>4952</v>
      </c>
      <c r="Q129" s="556">
        <f t="shared" si="10"/>
        <v>22494</v>
      </c>
      <c r="R129" s="556"/>
      <c r="S129" s="556"/>
      <c r="T129" s="556"/>
      <c r="U129" s="556"/>
      <c r="V129" s="556"/>
      <c r="W129" s="556"/>
      <c r="X129" s="556"/>
      <c r="Y129" s="556"/>
      <c r="Z129" s="556">
        <f t="shared" si="11"/>
        <v>0</v>
      </c>
    </row>
    <row r="130" spans="1:26" s="26" customFormat="1" x14ac:dyDescent="0.25">
      <c r="A130" s="588">
        <v>109</v>
      </c>
      <c r="B130" s="604" t="s">
        <v>270</v>
      </c>
      <c r="C130" s="30" t="s">
        <v>271</v>
      </c>
      <c r="D130" s="556">
        <v>0</v>
      </c>
      <c r="E130" s="556">
        <v>0</v>
      </c>
      <c r="F130" s="556">
        <v>0</v>
      </c>
      <c r="G130" s="556">
        <f t="shared" si="8"/>
        <v>0</v>
      </c>
      <c r="H130" s="556">
        <v>0</v>
      </c>
      <c r="I130" s="556">
        <v>0</v>
      </c>
      <c r="J130" s="556">
        <v>0</v>
      </c>
      <c r="K130" s="556">
        <f t="shared" si="9"/>
        <v>0</v>
      </c>
      <c r="L130" s="556">
        <v>0</v>
      </c>
      <c r="M130" s="556">
        <v>0</v>
      </c>
      <c r="N130" s="556">
        <v>0</v>
      </c>
      <c r="O130" s="556">
        <v>0</v>
      </c>
      <c r="P130" s="556">
        <v>0</v>
      </c>
      <c r="Q130" s="556">
        <f t="shared" si="10"/>
        <v>0</v>
      </c>
      <c r="R130" s="556"/>
      <c r="S130" s="556"/>
      <c r="T130" s="556"/>
      <c r="U130" s="556"/>
      <c r="V130" s="556"/>
      <c r="W130" s="556"/>
      <c r="X130" s="556"/>
      <c r="Y130" s="556"/>
      <c r="Z130" s="556">
        <f t="shared" si="11"/>
        <v>0</v>
      </c>
    </row>
    <row r="131" spans="1:26" s="26" customFormat="1" x14ac:dyDescent="0.25">
      <c r="A131" s="588">
        <v>110</v>
      </c>
      <c r="B131" s="70" t="s">
        <v>272</v>
      </c>
      <c r="C131" s="30" t="s">
        <v>273</v>
      </c>
      <c r="D131" s="556">
        <v>2882</v>
      </c>
      <c r="E131" s="556">
        <v>0</v>
      </c>
      <c r="F131" s="556">
        <v>0</v>
      </c>
      <c r="G131" s="556">
        <f t="shared" si="8"/>
        <v>0</v>
      </c>
      <c r="H131" s="556">
        <v>0</v>
      </c>
      <c r="I131" s="556">
        <v>0</v>
      </c>
      <c r="J131" s="556">
        <v>0</v>
      </c>
      <c r="K131" s="556">
        <f t="shared" si="9"/>
        <v>2882</v>
      </c>
      <c r="L131" s="556">
        <v>67</v>
      </c>
      <c r="M131" s="556">
        <v>185</v>
      </c>
      <c r="N131" s="556">
        <v>267</v>
      </c>
      <c r="O131" s="556">
        <v>0</v>
      </c>
      <c r="P131" s="556">
        <v>133</v>
      </c>
      <c r="Q131" s="556">
        <f t="shared" si="10"/>
        <v>652</v>
      </c>
      <c r="R131" s="556"/>
      <c r="S131" s="556"/>
      <c r="T131" s="556"/>
      <c r="U131" s="556"/>
      <c r="V131" s="556"/>
      <c r="W131" s="556"/>
      <c r="X131" s="556"/>
      <c r="Y131" s="556"/>
      <c r="Z131" s="556">
        <f t="shared" si="11"/>
        <v>0</v>
      </c>
    </row>
    <row r="132" spans="1:26" x14ac:dyDescent="0.25">
      <c r="A132" s="588">
        <v>111</v>
      </c>
      <c r="B132" s="70" t="s">
        <v>274</v>
      </c>
      <c r="C132" s="30" t="s">
        <v>275</v>
      </c>
      <c r="D132" s="556">
        <v>0</v>
      </c>
      <c r="E132" s="556">
        <v>0</v>
      </c>
      <c r="F132" s="556">
        <v>0</v>
      </c>
      <c r="G132" s="556">
        <f t="shared" si="8"/>
        <v>0</v>
      </c>
      <c r="H132" s="556">
        <v>0</v>
      </c>
      <c r="I132" s="556">
        <v>0</v>
      </c>
      <c r="J132" s="556">
        <v>0</v>
      </c>
      <c r="K132" s="556">
        <f t="shared" si="9"/>
        <v>0</v>
      </c>
      <c r="L132" s="556">
        <v>0</v>
      </c>
      <c r="M132" s="556">
        <v>0</v>
      </c>
      <c r="N132" s="556">
        <v>0</v>
      </c>
      <c r="O132" s="556">
        <v>0</v>
      </c>
      <c r="P132" s="556">
        <v>0</v>
      </c>
      <c r="Q132" s="556">
        <f t="shared" si="10"/>
        <v>0</v>
      </c>
      <c r="R132" s="556"/>
      <c r="S132" s="556"/>
      <c r="T132" s="556"/>
      <c r="U132" s="556"/>
      <c r="V132" s="556"/>
      <c r="W132" s="556"/>
      <c r="X132" s="556"/>
      <c r="Y132" s="556"/>
      <c r="Z132" s="556">
        <f t="shared" si="11"/>
        <v>0</v>
      </c>
    </row>
    <row r="133" spans="1:26" s="26" customFormat="1" x14ac:dyDescent="0.25">
      <c r="A133" s="588">
        <v>112</v>
      </c>
      <c r="B133" s="70" t="s">
        <v>276</v>
      </c>
      <c r="C133" s="30" t="s">
        <v>277</v>
      </c>
      <c r="D133" s="556">
        <v>0</v>
      </c>
      <c r="E133" s="556">
        <v>0</v>
      </c>
      <c r="F133" s="556">
        <v>0</v>
      </c>
      <c r="G133" s="556">
        <f t="shared" si="8"/>
        <v>0</v>
      </c>
      <c r="H133" s="556">
        <v>0</v>
      </c>
      <c r="I133" s="556">
        <v>0</v>
      </c>
      <c r="J133" s="556">
        <v>0</v>
      </c>
      <c r="K133" s="556">
        <f t="shared" si="9"/>
        <v>0</v>
      </c>
      <c r="L133" s="556">
        <v>0</v>
      </c>
      <c r="M133" s="556">
        <v>0</v>
      </c>
      <c r="N133" s="556">
        <v>0</v>
      </c>
      <c r="O133" s="556">
        <v>0</v>
      </c>
      <c r="P133" s="556">
        <v>0</v>
      </c>
      <c r="Q133" s="556">
        <f t="shared" si="10"/>
        <v>0</v>
      </c>
      <c r="R133" s="556"/>
      <c r="S133" s="556"/>
      <c r="T133" s="556"/>
      <c r="U133" s="556"/>
      <c r="V133" s="556"/>
      <c r="W133" s="556"/>
      <c r="X133" s="556"/>
      <c r="Y133" s="556"/>
      <c r="Z133" s="556">
        <f t="shared" si="11"/>
        <v>0</v>
      </c>
    </row>
    <row r="134" spans="1:26" s="26" customFormat="1" x14ac:dyDescent="0.25">
      <c r="A134" s="588">
        <v>113</v>
      </c>
      <c r="B134" s="604" t="s">
        <v>278</v>
      </c>
      <c r="C134" s="30" t="s">
        <v>279</v>
      </c>
      <c r="D134" s="556">
        <v>0</v>
      </c>
      <c r="E134" s="556">
        <v>0</v>
      </c>
      <c r="F134" s="556">
        <v>0</v>
      </c>
      <c r="G134" s="556">
        <f t="shared" si="8"/>
        <v>0</v>
      </c>
      <c r="H134" s="556">
        <v>0</v>
      </c>
      <c r="I134" s="556">
        <v>0</v>
      </c>
      <c r="J134" s="556">
        <v>0</v>
      </c>
      <c r="K134" s="556">
        <f t="shared" si="9"/>
        <v>0</v>
      </c>
      <c r="L134" s="556">
        <v>0</v>
      </c>
      <c r="M134" s="556">
        <v>0</v>
      </c>
      <c r="N134" s="556">
        <v>0</v>
      </c>
      <c r="O134" s="556">
        <v>0</v>
      </c>
      <c r="P134" s="556">
        <v>0</v>
      </c>
      <c r="Q134" s="556">
        <f t="shared" si="10"/>
        <v>0</v>
      </c>
      <c r="R134" s="556">
        <v>344</v>
      </c>
      <c r="S134" s="556">
        <v>815</v>
      </c>
      <c r="T134" s="556">
        <v>665</v>
      </c>
      <c r="U134" s="556">
        <v>435</v>
      </c>
      <c r="V134" s="556">
        <v>510</v>
      </c>
      <c r="W134" s="556">
        <v>800</v>
      </c>
      <c r="X134" s="556">
        <v>2106</v>
      </c>
      <c r="Y134" s="556">
        <v>48</v>
      </c>
      <c r="Z134" s="556">
        <f t="shared" si="11"/>
        <v>5723</v>
      </c>
    </row>
    <row r="135" spans="1:26" s="26" customFormat="1" x14ac:dyDescent="0.25">
      <c r="A135" s="588">
        <v>114</v>
      </c>
      <c r="B135" s="604" t="s">
        <v>280</v>
      </c>
      <c r="C135" s="30" t="s">
        <v>281</v>
      </c>
      <c r="D135" s="556">
        <v>0</v>
      </c>
      <c r="E135" s="556">
        <v>0</v>
      </c>
      <c r="F135" s="556">
        <v>0</v>
      </c>
      <c r="G135" s="556">
        <f t="shared" si="8"/>
        <v>0</v>
      </c>
      <c r="H135" s="556">
        <v>0</v>
      </c>
      <c r="I135" s="556">
        <v>0</v>
      </c>
      <c r="J135" s="556">
        <v>0</v>
      </c>
      <c r="K135" s="556">
        <f t="shared" si="9"/>
        <v>0</v>
      </c>
      <c r="L135" s="556">
        <v>0</v>
      </c>
      <c r="M135" s="556">
        <v>0</v>
      </c>
      <c r="N135" s="556">
        <v>0</v>
      </c>
      <c r="O135" s="556">
        <v>0</v>
      </c>
      <c r="P135" s="556">
        <v>0</v>
      </c>
      <c r="Q135" s="556">
        <f t="shared" si="10"/>
        <v>0</v>
      </c>
      <c r="R135" s="556"/>
      <c r="S135" s="556"/>
      <c r="T135" s="556"/>
      <c r="U135" s="556"/>
      <c r="V135" s="556"/>
      <c r="W135" s="556"/>
      <c r="X135" s="556"/>
      <c r="Y135" s="556"/>
      <c r="Z135" s="556">
        <f t="shared" si="11"/>
        <v>0</v>
      </c>
    </row>
    <row r="136" spans="1:26" s="26" customFormat="1" x14ac:dyDescent="0.25">
      <c r="A136" s="588">
        <v>115</v>
      </c>
      <c r="B136" s="604" t="s">
        <v>282</v>
      </c>
      <c r="C136" s="30" t="s">
        <v>768</v>
      </c>
      <c r="D136" s="556">
        <v>2240</v>
      </c>
      <c r="E136" s="556">
        <v>0</v>
      </c>
      <c r="F136" s="556">
        <v>0</v>
      </c>
      <c r="G136" s="556">
        <f t="shared" si="8"/>
        <v>0</v>
      </c>
      <c r="H136" s="556">
        <v>0</v>
      </c>
      <c r="I136" s="556">
        <v>0</v>
      </c>
      <c r="J136" s="556">
        <v>0</v>
      </c>
      <c r="K136" s="556">
        <f t="shared" si="9"/>
        <v>2240</v>
      </c>
      <c r="L136" s="556">
        <v>0</v>
      </c>
      <c r="M136" s="556">
        <v>0</v>
      </c>
      <c r="N136" s="556">
        <v>0</v>
      </c>
      <c r="O136" s="556">
        <v>0</v>
      </c>
      <c r="P136" s="556">
        <v>0</v>
      </c>
      <c r="Q136" s="556">
        <f t="shared" si="10"/>
        <v>0</v>
      </c>
      <c r="R136" s="556"/>
      <c r="S136" s="556"/>
      <c r="T136" s="556"/>
      <c r="U136" s="556"/>
      <c r="V136" s="556"/>
      <c r="W136" s="556"/>
      <c r="X136" s="556"/>
      <c r="Y136" s="556"/>
      <c r="Z136" s="556">
        <f t="shared" si="11"/>
        <v>0</v>
      </c>
    </row>
    <row r="137" spans="1:26" s="26" customFormat="1" x14ac:dyDescent="0.25">
      <c r="A137" s="588">
        <v>116</v>
      </c>
      <c r="B137" s="70" t="s">
        <v>283</v>
      </c>
      <c r="C137" s="30" t="s">
        <v>284</v>
      </c>
      <c r="D137" s="556">
        <v>1744</v>
      </c>
      <c r="E137" s="556">
        <v>20</v>
      </c>
      <c r="F137" s="556">
        <v>526</v>
      </c>
      <c r="G137" s="556">
        <f t="shared" si="8"/>
        <v>0</v>
      </c>
      <c r="H137" s="556">
        <v>0</v>
      </c>
      <c r="I137" s="556">
        <v>0</v>
      </c>
      <c r="J137" s="556">
        <v>0</v>
      </c>
      <c r="K137" s="556">
        <f t="shared" si="9"/>
        <v>2290</v>
      </c>
      <c r="L137" s="556">
        <v>0</v>
      </c>
      <c r="M137" s="556">
        <v>0</v>
      </c>
      <c r="N137" s="556">
        <v>0</v>
      </c>
      <c r="O137" s="556">
        <v>0</v>
      </c>
      <c r="P137" s="556">
        <v>0</v>
      </c>
      <c r="Q137" s="556">
        <f t="shared" si="10"/>
        <v>0</v>
      </c>
      <c r="R137" s="556"/>
      <c r="S137" s="556"/>
      <c r="T137" s="556"/>
      <c r="U137" s="556"/>
      <c r="V137" s="556"/>
      <c r="W137" s="556"/>
      <c r="X137" s="556"/>
      <c r="Y137" s="556"/>
      <c r="Z137" s="556">
        <f t="shared" si="11"/>
        <v>0</v>
      </c>
    </row>
    <row r="138" spans="1:26" s="26" customFormat="1" x14ac:dyDescent="0.25">
      <c r="A138" s="588">
        <v>117</v>
      </c>
      <c r="B138" s="71" t="s">
        <v>285</v>
      </c>
      <c r="C138" s="30" t="s">
        <v>726</v>
      </c>
      <c r="D138" s="556">
        <v>2215</v>
      </c>
      <c r="E138" s="556">
        <v>217</v>
      </c>
      <c r="F138" s="556">
        <v>322</v>
      </c>
      <c r="G138" s="556">
        <f t="shared" si="8"/>
        <v>547</v>
      </c>
      <c r="H138" s="556">
        <v>375</v>
      </c>
      <c r="I138" s="556">
        <v>50</v>
      </c>
      <c r="J138" s="556">
        <v>122</v>
      </c>
      <c r="K138" s="556">
        <f t="shared" si="9"/>
        <v>3301</v>
      </c>
      <c r="L138" s="556">
        <v>291</v>
      </c>
      <c r="M138" s="556">
        <v>2401</v>
      </c>
      <c r="N138" s="556">
        <v>6433</v>
      </c>
      <c r="O138" s="556">
        <v>891</v>
      </c>
      <c r="P138" s="556">
        <v>0</v>
      </c>
      <c r="Q138" s="556">
        <f t="shared" si="10"/>
        <v>10016</v>
      </c>
      <c r="R138" s="556"/>
      <c r="S138" s="556"/>
      <c r="T138" s="556"/>
      <c r="U138" s="556"/>
      <c r="V138" s="556"/>
      <c r="W138" s="556"/>
      <c r="X138" s="556"/>
      <c r="Y138" s="556"/>
      <c r="Z138" s="556">
        <f t="shared" si="11"/>
        <v>0</v>
      </c>
    </row>
    <row r="139" spans="1:26" s="26" customFormat="1" x14ac:dyDescent="0.25">
      <c r="A139" s="588">
        <v>118</v>
      </c>
      <c r="B139" s="604" t="s">
        <v>286</v>
      </c>
      <c r="C139" s="30" t="s">
        <v>287</v>
      </c>
      <c r="D139" s="556">
        <v>0</v>
      </c>
      <c r="E139" s="556">
        <v>0</v>
      </c>
      <c r="F139" s="556">
        <v>0</v>
      </c>
      <c r="G139" s="556">
        <f t="shared" si="8"/>
        <v>0</v>
      </c>
      <c r="H139" s="556">
        <v>0</v>
      </c>
      <c r="I139" s="556">
        <v>0</v>
      </c>
      <c r="J139" s="556">
        <v>0</v>
      </c>
      <c r="K139" s="556">
        <f t="shared" si="9"/>
        <v>0</v>
      </c>
      <c r="L139" s="556">
        <v>0</v>
      </c>
      <c r="M139" s="556">
        <v>0</v>
      </c>
      <c r="N139" s="556">
        <v>0</v>
      </c>
      <c r="O139" s="556">
        <v>0</v>
      </c>
      <c r="P139" s="556">
        <v>0</v>
      </c>
      <c r="Q139" s="556">
        <f t="shared" si="10"/>
        <v>0</v>
      </c>
      <c r="R139" s="556"/>
      <c r="S139" s="556"/>
      <c r="T139" s="556"/>
      <c r="U139" s="556"/>
      <c r="V139" s="556"/>
      <c r="W139" s="556"/>
      <c r="X139" s="556"/>
      <c r="Y139" s="556"/>
      <c r="Z139" s="556">
        <f t="shared" si="11"/>
        <v>0</v>
      </c>
    </row>
    <row r="140" spans="1:26" s="26" customFormat="1" x14ac:dyDescent="0.25">
      <c r="A140" s="588">
        <v>119</v>
      </c>
      <c r="B140" s="70" t="s">
        <v>288</v>
      </c>
      <c r="C140" s="30" t="s">
        <v>289</v>
      </c>
      <c r="D140" s="556">
        <v>0</v>
      </c>
      <c r="E140" s="556">
        <v>0</v>
      </c>
      <c r="F140" s="556">
        <v>0</v>
      </c>
      <c r="G140" s="556">
        <f t="shared" ref="G140:G148" si="12">H140+I140+J140</f>
        <v>0</v>
      </c>
      <c r="H140" s="556">
        <v>0</v>
      </c>
      <c r="I140" s="556">
        <v>0</v>
      </c>
      <c r="J140" s="556">
        <v>0</v>
      </c>
      <c r="K140" s="556">
        <f t="shared" ref="K140:K148" si="13">D140+E140+F140+G140</f>
        <v>0</v>
      </c>
      <c r="L140" s="556">
        <v>0</v>
      </c>
      <c r="M140" s="556">
        <v>0</v>
      </c>
      <c r="N140" s="556">
        <v>0</v>
      </c>
      <c r="O140" s="556">
        <v>0</v>
      </c>
      <c r="P140" s="556">
        <v>0</v>
      </c>
      <c r="Q140" s="556">
        <f t="shared" ref="Q140:Q145" si="14">L140+M140+N140+O140+P140</f>
        <v>0</v>
      </c>
      <c r="R140" s="556"/>
      <c r="S140" s="556"/>
      <c r="T140" s="556"/>
      <c r="U140" s="556"/>
      <c r="V140" s="556"/>
      <c r="W140" s="556"/>
      <c r="X140" s="556"/>
      <c r="Y140" s="556"/>
      <c r="Z140" s="556">
        <f t="shared" ref="Z140:Z145" si="15">R140+S140+T140+U140+V140+W140+X140+Y140</f>
        <v>0</v>
      </c>
    </row>
    <row r="141" spans="1:26" s="26" customFormat="1" x14ac:dyDescent="0.25">
      <c r="A141" s="588">
        <v>120</v>
      </c>
      <c r="B141" s="604" t="s">
        <v>290</v>
      </c>
      <c r="C141" s="30" t="s">
        <v>291</v>
      </c>
      <c r="D141" s="556">
        <v>0</v>
      </c>
      <c r="E141" s="556">
        <v>0</v>
      </c>
      <c r="F141" s="556">
        <v>0</v>
      </c>
      <c r="G141" s="556">
        <f t="shared" si="12"/>
        <v>0</v>
      </c>
      <c r="H141" s="556">
        <v>0</v>
      </c>
      <c r="I141" s="556">
        <v>0</v>
      </c>
      <c r="J141" s="556">
        <v>0</v>
      </c>
      <c r="K141" s="556">
        <f t="shared" si="13"/>
        <v>0</v>
      </c>
      <c r="L141" s="556">
        <v>0</v>
      </c>
      <c r="M141" s="556">
        <v>0</v>
      </c>
      <c r="N141" s="556">
        <v>0</v>
      </c>
      <c r="O141" s="556">
        <v>0</v>
      </c>
      <c r="P141" s="556">
        <v>0</v>
      </c>
      <c r="Q141" s="556">
        <f t="shared" si="14"/>
        <v>0</v>
      </c>
      <c r="R141" s="556"/>
      <c r="S141" s="556"/>
      <c r="T141" s="556"/>
      <c r="U141" s="556"/>
      <c r="V141" s="556"/>
      <c r="W141" s="556"/>
      <c r="X141" s="556"/>
      <c r="Y141" s="556"/>
      <c r="Z141" s="556">
        <f t="shared" si="15"/>
        <v>0</v>
      </c>
    </row>
    <row r="142" spans="1:26" x14ac:dyDescent="0.25">
      <c r="A142" s="588">
        <v>121</v>
      </c>
      <c r="B142" s="138" t="s">
        <v>292</v>
      </c>
      <c r="C142" s="593" t="s">
        <v>293</v>
      </c>
      <c r="D142" s="556">
        <v>0</v>
      </c>
      <c r="E142" s="556">
        <v>0</v>
      </c>
      <c r="F142" s="556">
        <v>0</v>
      </c>
      <c r="G142" s="556">
        <f t="shared" si="12"/>
        <v>0</v>
      </c>
      <c r="H142" s="556">
        <v>0</v>
      </c>
      <c r="I142" s="556">
        <v>0</v>
      </c>
      <c r="J142" s="556">
        <v>0</v>
      </c>
      <c r="K142" s="556">
        <f t="shared" si="13"/>
        <v>0</v>
      </c>
      <c r="L142" s="556">
        <v>0</v>
      </c>
      <c r="M142" s="556">
        <v>0</v>
      </c>
      <c r="N142" s="556">
        <v>0</v>
      </c>
      <c r="O142" s="556">
        <v>0</v>
      </c>
      <c r="P142" s="556">
        <v>0</v>
      </c>
      <c r="Q142" s="556">
        <f t="shared" si="14"/>
        <v>0</v>
      </c>
      <c r="R142" s="556"/>
      <c r="S142" s="556"/>
      <c r="T142" s="556"/>
      <c r="U142" s="556"/>
      <c r="V142" s="556"/>
      <c r="W142" s="556"/>
      <c r="X142" s="556"/>
      <c r="Y142" s="556"/>
      <c r="Z142" s="556">
        <f t="shared" si="15"/>
        <v>0</v>
      </c>
    </row>
    <row r="143" spans="1:26" x14ac:dyDescent="0.25">
      <c r="A143" s="588">
        <v>122</v>
      </c>
      <c r="B143" s="140" t="s">
        <v>294</v>
      </c>
      <c r="C143" s="594" t="s">
        <v>295</v>
      </c>
      <c r="D143" s="556">
        <v>0</v>
      </c>
      <c r="E143" s="556">
        <v>0</v>
      </c>
      <c r="F143" s="556">
        <v>0</v>
      </c>
      <c r="G143" s="556">
        <f t="shared" si="12"/>
        <v>0</v>
      </c>
      <c r="H143" s="556">
        <v>0</v>
      </c>
      <c r="I143" s="556">
        <v>0</v>
      </c>
      <c r="J143" s="556">
        <v>0</v>
      </c>
      <c r="K143" s="556">
        <f t="shared" si="13"/>
        <v>0</v>
      </c>
      <c r="L143" s="556">
        <v>0</v>
      </c>
      <c r="M143" s="556">
        <v>0</v>
      </c>
      <c r="N143" s="556">
        <v>0</v>
      </c>
      <c r="O143" s="556">
        <v>0</v>
      </c>
      <c r="P143" s="556">
        <v>0</v>
      </c>
      <c r="Q143" s="556">
        <f t="shared" si="14"/>
        <v>0</v>
      </c>
      <c r="R143" s="556"/>
      <c r="S143" s="556"/>
      <c r="T143" s="556"/>
      <c r="U143" s="556"/>
      <c r="V143" s="556"/>
      <c r="W143" s="556"/>
      <c r="X143" s="556"/>
      <c r="Y143" s="556"/>
      <c r="Z143" s="556">
        <f t="shared" si="15"/>
        <v>0</v>
      </c>
    </row>
    <row r="144" spans="1:26" x14ac:dyDescent="0.2">
      <c r="A144" s="588">
        <v>123</v>
      </c>
      <c r="B144" s="595" t="s">
        <v>296</v>
      </c>
      <c r="C144" s="596" t="s">
        <v>460</v>
      </c>
      <c r="D144" s="556">
        <v>0</v>
      </c>
      <c r="E144" s="556">
        <v>0</v>
      </c>
      <c r="F144" s="556">
        <v>0</v>
      </c>
      <c r="G144" s="556">
        <f t="shared" si="12"/>
        <v>0</v>
      </c>
      <c r="H144" s="556">
        <v>0</v>
      </c>
      <c r="I144" s="556">
        <v>0</v>
      </c>
      <c r="J144" s="556">
        <v>0</v>
      </c>
      <c r="K144" s="556">
        <f t="shared" si="13"/>
        <v>0</v>
      </c>
      <c r="L144" s="556">
        <v>0</v>
      </c>
      <c r="M144" s="556">
        <v>0</v>
      </c>
      <c r="N144" s="556">
        <v>0</v>
      </c>
      <c r="O144" s="556">
        <v>0</v>
      </c>
      <c r="P144" s="556">
        <v>0</v>
      </c>
      <c r="Q144" s="556">
        <f t="shared" si="14"/>
        <v>0</v>
      </c>
      <c r="R144" s="556"/>
      <c r="S144" s="556"/>
      <c r="T144" s="556"/>
      <c r="U144" s="556"/>
      <c r="V144" s="556"/>
      <c r="W144" s="556"/>
      <c r="X144" s="556"/>
      <c r="Y144" s="556"/>
      <c r="Z144" s="556">
        <f t="shared" si="15"/>
        <v>0</v>
      </c>
    </row>
    <row r="145" spans="1:26" x14ac:dyDescent="0.25">
      <c r="A145" s="588">
        <v>124</v>
      </c>
      <c r="B145" s="588" t="s">
        <v>298</v>
      </c>
      <c r="C145" s="597" t="s">
        <v>299</v>
      </c>
      <c r="D145" s="556">
        <v>0</v>
      </c>
      <c r="E145" s="556">
        <v>0</v>
      </c>
      <c r="F145" s="556">
        <v>0</v>
      </c>
      <c r="G145" s="556">
        <f t="shared" si="12"/>
        <v>0</v>
      </c>
      <c r="H145" s="556">
        <v>0</v>
      </c>
      <c r="I145" s="556">
        <v>0</v>
      </c>
      <c r="J145" s="556">
        <v>0</v>
      </c>
      <c r="K145" s="556">
        <f t="shared" si="13"/>
        <v>0</v>
      </c>
      <c r="L145" s="556">
        <v>0</v>
      </c>
      <c r="M145" s="556">
        <v>0</v>
      </c>
      <c r="N145" s="556">
        <v>0</v>
      </c>
      <c r="O145" s="556">
        <v>0</v>
      </c>
      <c r="P145" s="556">
        <v>0</v>
      </c>
      <c r="Q145" s="556">
        <f t="shared" si="14"/>
        <v>0</v>
      </c>
      <c r="R145" s="556"/>
      <c r="S145" s="556"/>
      <c r="T145" s="556"/>
      <c r="U145" s="556"/>
      <c r="V145" s="556"/>
      <c r="W145" s="556"/>
      <c r="X145" s="556"/>
      <c r="Y145" s="556"/>
      <c r="Z145" s="556">
        <f t="shared" si="15"/>
        <v>0</v>
      </c>
    </row>
    <row r="146" spans="1:26" x14ac:dyDescent="0.25">
      <c r="A146" s="588">
        <v>125</v>
      </c>
      <c r="B146" s="592" t="s">
        <v>300</v>
      </c>
      <c r="C146" s="597" t="s">
        <v>301</v>
      </c>
      <c r="D146" s="556">
        <v>0</v>
      </c>
      <c r="E146" s="556">
        <v>0</v>
      </c>
      <c r="F146" s="556">
        <v>0</v>
      </c>
      <c r="G146" s="556">
        <f t="shared" si="12"/>
        <v>0</v>
      </c>
      <c r="H146" s="556">
        <v>0</v>
      </c>
      <c r="I146" s="556">
        <v>0</v>
      </c>
      <c r="J146" s="556">
        <v>0</v>
      </c>
      <c r="K146" s="556">
        <f t="shared" si="13"/>
        <v>0</v>
      </c>
      <c r="L146" s="556">
        <v>0</v>
      </c>
      <c r="M146" s="556">
        <v>0</v>
      </c>
      <c r="N146" s="556">
        <v>0</v>
      </c>
      <c r="O146" s="556">
        <v>0</v>
      </c>
      <c r="P146" s="556">
        <v>0</v>
      </c>
      <c r="Q146" s="556">
        <f t="shared" ref="Q146:Q148" si="16">O146+P146</f>
        <v>0</v>
      </c>
      <c r="R146" s="556"/>
      <c r="S146" s="556"/>
      <c r="T146" s="556"/>
      <c r="U146" s="556"/>
      <c r="V146" s="556"/>
      <c r="W146" s="556"/>
      <c r="X146" s="556"/>
      <c r="Y146" s="556"/>
      <c r="Z146" s="556">
        <f t="shared" ref="Z146:Z148" si="17">X146+Y146</f>
        <v>0</v>
      </c>
    </row>
    <row r="147" spans="1:26" x14ac:dyDescent="0.25">
      <c r="A147" s="588">
        <v>126</v>
      </c>
      <c r="B147" s="592" t="s">
        <v>302</v>
      </c>
      <c r="C147" s="597" t="s">
        <v>303</v>
      </c>
      <c r="D147" s="556">
        <v>0</v>
      </c>
      <c r="E147" s="556">
        <v>0</v>
      </c>
      <c r="F147" s="556">
        <v>0</v>
      </c>
      <c r="G147" s="556">
        <f t="shared" si="12"/>
        <v>0</v>
      </c>
      <c r="H147" s="556">
        <v>0</v>
      </c>
      <c r="I147" s="556">
        <v>0</v>
      </c>
      <c r="J147" s="556">
        <v>0</v>
      </c>
      <c r="K147" s="556">
        <f t="shared" si="13"/>
        <v>0</v>
      </c>
      <c r="L147" s="556">
        <v>0</v>
      </c>
      <c r="M147" s="556">
        <v>0</v>
      </c>
      <c r="N147" s="556">
        <v>0</v>
      </c>
      <c r="O147" s="556">
        <v>0</v>
      </c>
      <c r="P147" s="556">
        <v>0</v>
      </c>
      <c r="Q147" s="556">
        <f t="shared" si="16"/>
        <v>0</v>
      </c>
      <c r="R147" s="556"/>
      <c r="S147" s="556"/>
      <c r="T147" s="556"/>
      <c r="U147" s="556"/>
      <c r="V147" s="556"/>
      <c r="W147" s="556"/>
      <c r="X147" s="556"/>
      <c r="Y147" s="556"/>
      <c r="Z147" s="556">
        <f t="shared" si="17"/>
        <v>0</v>
      </c>
    </row>
    <row r="148" spans="1:26" x14ac:dyDescent="0.25">
      <c r="A148" s="588">
        <v>127</v>
      </c>
      <c r="B148" s="592" t="s">
        <v>304</v>
      </c>
      <c r="C148" s="590" t="s">
        <v>305</v>
      </c>
      <c r="D148" s="556">
        <v>0</v>
      </c>
      <c r="E148" s="556">
        <v>0</v>
      </c>
      <c r="F148" s="556">
        <v>0</v>
      </c>
      <c r="G148" s="556">
        <f t="shared" si="12"/>
        <v>0</v>
      </c>
      <c r="H148" s="556">
        <v>0</v>
      </c>
      <c r="I148" s="556">
        <v>0</v>
      </c>
      <c r="J148" s="556">
        <v>0</v>
      </c>
      <c r="K148" s="556">
        <f t="shared" si="13"/>
        <v>0</v>
      </c>
      <c r="L148" s="556">
        <v>0</v>
      </c>
      <c r="M148" s="556">
        <v>0</v>
      </c>
      <c r="N148" s="556">
        <v>0</v>
      </c>
      <c r="O148" s="556">
        <v>0</v>
      </c>
      <c r="P148" s="556">
        <v>0</v>
      </c>
      <c r="Q148" s="556">
        <f t="shared" si="16"/>
        <v>0</v>
      </c>
      <c r="R148" s="556"/>
      <c r="S148" s="556"/>
      <c r="T148" s="556"/>
      <c r="U148" s="556"/>
      <c r="V148" s="556"/>
      <c r="W148" s="556"/>
      <c r="X148" s="556"/>
      <c r="Y148" s="556"/>
      <c r="Z148" s="556">
        <f t="shared" si="17"/>
        <v>0</v>
      </c>
    </row>
    <row r="149" spans="1:26" x14ac:dyDescent="0.25">
      <c r="M149" s="31"/>
      <c r="N149" s="31"/>
    </row>
    <row r="151" spans="1:26" s="31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1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6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A35:A36"/>
    <mergeCell ref="A73:A75"/>
    <mergeCell ref="A76:A79"/>
    <mergeCell ref="A83:A84"/>
    <mergeCell ref="A86:A8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="110" zoomScaleNormal="110" workbookViewId="0">
      <pane xSplit="3" ySplit="9" topLeftCell="D132" activePane="bottomRight" state="frozen"/>
      <selection pane="topRight" activeCell="D1" sqref="D1"/>
      <selection pane="bottomLeft" activeCell="A9" sqref="A9"/>
      <selection pane="bottomRight" activeCell="K137" sqref="K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18" t="s">
        <v>547</v>
      </c>
      <c r="B1" s="1118"/>
      <c r="C1" s="1118"/>
      <c r="D1" s="1118"/>
      <c r="E1" s="1118"/>
      <c r="F1" s="1118"/>
      <c r="G1" s="1118"/>
      <c r="H1" s="1118"/>
    </row>
    <row r="2" spans="1:8" ht="15.75" customHeight="1" x14ac:dyDescent="0.25">
      <c r="A2" s="1118"/>
      <c r="B2" s="1118"/>
      <c r="C2" s="1118"/>
      <c r="D2" s="1118"/>
      <c r="E2" s="1118"/>
      <c r="F2" s="1118"/>
      <c r="G2" s="1118"/>
      <c r="H2" s="1118"/>
    </row>
    <row r="3" spans="1:8" x14ac:dyDescent="0.25">
      <c r="C3" s="6"/>
      <c r="E3" s="31"/>
      <c r="F3" s="31"/>
      <c r="G3" s="31"/>
    </row>
    <row r="4" spans="1:8" ht="36.75" customHeight="1" x14ac:dyDescent="0.25">
      <c r="A4" s="876" t="s">
        <v>0</v>
      </c>
      <c r="B4" s="876" t="s">
        <v>1</v>
      </c>
      <c r="C4" s="877" t="s">
        <v>2</v>
      </c>
      <c r="D4" s="877" t="s">
        <v>535</v>
      </c>
      <c r="E4" s="877" t="s">
        <v>536</v>
      </c>
      <c r="F4" s="877" t="s">
        <v>537</v>
      </c>
      <c r="G4" s="877"/>
      <c r="H4" s="877"/>
    </row>
    <row r="5" spans="1:8" s="10" customFormat="1" ht="36" x14ac:dyDescent="0.25">
      <c r="A5" s="876"/>
      <c r="B5" s="876"/>
      <c r="C5" s="877"/>
      <c r="D5" s="877"/>
      <c r="E5" s="877"/>
      <c r="F5" s="598" t="s">
        <v>413</v>
      </c>
      <c r="G5" s="598" t="s">
        <v>765</v>
      </c>
      <c r="H5" s="598" t="s">
        <v>766</v>
      </c>
    </row>
    <row r="6" spans="1:8" x14ac:dyDescent="0.25">
      <c r="A6" s="1131" t="s">
        <v>13</v>
      </c>
      <c r="B6" s="1131"/>
      <c r="C6" s="1131"/>
      <c r="D6" s="170">
        <f>D7+D9+D8</f>
        <v>2482</v>
      </c>
      <c r="E6" s="170">
        <f t="shared" ref="E6:H6" si="0">E7+E9+E8</f>
        <v>4761</v>
      </c>
      <c r="F6" s="170">
        <f t="shared" si="0"/>
        <v>2386</v>
      </c>
      <c r="G6" s="170">
        <f t="shared" si="0"/>
        <v>750</v>
      </c>
      <c r="H6" s="170">
        <f t="shared" si="0"/>
        <v>1636</v>
      </c>
    </row>
    <row r="7" spans="1:8" x14ac:dyDescent="0.25">
      <c r="A7" s="15"/>
      <c r="B7" s="15"/>
      <c r="C7" s="16" t="s">
        <v>14</v>
      </c>
      <c r="D7" s="146">
        <v>0</v>
      </c>
      <c r="E7" s="146">
        <v>0</v>
      </c>
      <c r="F7" s="146">
        <f>G7+H7</f>
        <v>0</v>
      </c>
      <c r="G7" s="146">
        <v>0</v>
      </c>
      <c r="H7" s="146">
        <v>0</v>
      </c>
    </row>
    <row r="8" spans="1:8" x14ac:dyDescent="0.25">
      <c r="A8" s="15"/>
      <c r="B8" s="15"/>
      <c r="C8" s="16" t="s">
        <v>545</v>
      </c>
      <c r="D8" s="146">
        <f>4761-4761</f>
        <v>0</v>
      </c>
      <c r="E8" s="146">
        <f>4761-4761</f>
        <v>0</v>
      </c>
      <c r="F8" s="146">
        <f>G8+H8</f>
        <v>0</v>
      </c>
      <c r="G8" s="146">
        <v>0</v>
      </c>
      <c r="H8" s="146">
        <f>2386-2386</f>
        <v>0</v>
      </c>
    </row>
    <row r="9" spans="1:8" s="10" customFormat="1" x14ac:dyDescent="0.25">
      <c r="A9" s="1131" t="s">
        <v>15</v>
      </c>
      <c r="B9" s="1131"/>
      <c r="C9" s="1131"/>
      <c r="D9" s="170">
        <f>SUM(D10:D147)-D35-D73-D74-D76-D77-D78-D83-D86-D90</f>
        <v>2482</v>
      </c>
      <c r="E9" s="170">
        <f t="shared" ref="E9:H9" si="1">SUM(E10:E147)-E35-E73-E74-E76-E77-E78-E83-E86-E90</f>
        <v>4761</v>
      </c>
      <c r="F9" s="170">
        <f t="shared" si="1"/>
        <v>2386</v>
      </c>
      <c r="G9" s="170">
        <f t="shared" si="1"/>
        <v>750</v>
      </c>
      <c r="H9" s="170">
        <f t="shared" si="1"/>
        <v>1636</v>
      </c>
    </row>
    <row r="10" spans="1:8" s="19" customFormat="1" x14ac:dyDescent="0.25">
      <c r="A10" s="145">
        <v>1</v>
      </c>
      <c r="B10" s="48" t="s">
        <v>54</v>
      </c>
      <c r="C10" s="49" t="s">
        <v>55</v>
      </c>
      <c r="D10" s="146">
        <v>0</v>
      </c>
      <c r="E10" s="146">
        <v>0</v>
      </c>
      <c r="F10" s="146">
        <f>G10+H10</f>
        <v>0</v>
      </c>
      <c r="G10" s="146">
        <v>0</v>
      </c>
      <c r="H10" s="146">
        <v>0</v>
      </c>
    </row>
    <row r="11" spans="1:8" s="19" customFormat="1" x14ac:dyDescent="0.25">
      <c r="A11" s="145">
        <v>2</v>
      </c>
      <c r="B11" s="51" t="s">
        <v>56</v>
      </c>
      <c r="C11" s="49" t="s">
        <v>57</v>
      </c>
      <c r="D11" s="146">
        <v>0</v>
      </c>
      <c r="E11" s="146">
        <v>0</v>
      </c>
      <c r="F11" s="146">
        <f t="shared" ref="F11:F71" si="2">G11+H11</f>
        <v>0</v>
      </c>
      <c r="G11" s="146">
        <v>0</v>
      </c>
      <c r="H11" s="146">
        <v>0</v>
      </c>
    </row>
    <row r="12" spans="1:8" s="10" customFormat="1" x14ac:dyDescent="0.25">
      <c r="A12" s="145">
        <v>3</v>
      </c>
      <c r="B12" s="166" t="s">
        <v>16</v>
      </c>
      <c r="C12" s="49" t="s">
        <v>17</v>
      </c>
      <c r="D12" s="146">
        <v>0</v>
      </c>
      <c r="E12" s="146">
        <v>0</v>
      </c>
      <c r="F12" s="146">
        <f t="shared" si="2"/>
        <v>0</v>
      </c>
      <c r="G12" s="146">
        <v>0</v>
      </c>
      <c r="H12" s="146">
        <v>0</v>
      </c>
    </row>
    <row r="13" spans="1:8" s="26" customFormat="1" x14ac:dyDescent="0.25">
      <c r="A13" s="145">
        <v>4</v>
      </c>
      <c r="B13" s="48" t="s">
        <v>58</v>
      </c>
      <c r="C13" s="49" t="s">
        <v>59</v>
      </c>
      <c r="D13" s="146">
        <v>0</v>
      </c>
      <c r="E13" s="146">
        <v>0</v>
      </c>
      <c r="F13" s="146">
        <f t="shared" si="2"/>
        <v>0</v>
      </c>
      <c r="G13" s="146">
        <v>0</v>
      </c>
      <c r="H13" s="146">
        <v>0</v>
      </c>
    </row>
    <row r="14" spans="1:8" s="26" customFormat="1" x14ac:dyDescent="0.25">
      <c r="A14" s="145">
        <v>5</v>
      </c>
      <c r="B14" s="48" t="s">
        <v>60</v>
      </c>
      <c r="C14" s="49" t="s">
        <v>61</v>
      </c>
      <c r="D14" s="146">
        <v>0</v>
      </c>
      <c r="E14" s="146">
        <v>0</v>
      </c>
      <c r="F14" s="146">
        <f t="shared" si="2"/>
        <v>0</v>
      </c>
      <c r="G14" s="146">
        <v>0</v>
      </c>
      <c r="H14" s="146">
        <v>0</v>
      </c>
    </row>
    <row r="15" spans="1:8" s="148" customFormat="1" x14ac:dyDescent="0.25">
      <c r="A15" s="145">
        <v>6</v>
      </c>
      <c r="B15" s="166" t="s">
        <v>18</v>
      </c>
      <c r="C15" s="49" t="s">
        <v>19</v>
      </c>
      <c r="D15" s="146">
        <v>0</v>
      </c>
      <c r="E15" s="146">
        <v>200</v>
      </c>
      <c r="F15" s="146">
        <f t="shared" si="2"/>
        <v>106</v>
      </c>
      <c r="G15" s="146">
        <v>0</v>
      </c>
      <c r="H15" s="146">
        <v>106</v>
      </c>
    </row>
    <row r="16" spans="1:8" s="26" customFormat="1" x14ac:dyDescent="0.25">
      <c r="A16" s="145">
        <v>7</v>
      </c>
      <c r="B16" s="48" t="s">
        <v>62</v>
      </c>
      <c r="C16" s="49" t="s">
        <v>63</v>
      </c>
      <c r="D16" s="146">
        <v>0</v>
      </c>
      <c r="E16" s="146">
        <v>200</v>
      </c>
      <c r="F16" s="146">
        <f t="shared" si="2"/>
        <v>0</v>
      </c>
      <c r="G16" s="146">
        <v>0</v>
      </c>
      <c r="H16" s="146">
        <v>0</v>
      </c>
    </row>
    <row r="17" spans="1:8" s="26" customFormat="1" x14ac:dyDescent="0.25">
      <c r="A17" s="145">
        <v>8</v>
      </c>
      <c r="B17" s="166" t="s">
        <v>64</v>
      </c>
      <c r="C17" s="49" t="s">
        <v>65</v>
      </c>
      <c r="D17" s="146">
        <v>0</v>
      </c>
      <c r="E17" s="146">
        <v>0</v>
      </c>
      <c r="F17" s="146">
        <f t="shared" si="2"/>
        <v>0</v>
      </c>
      <c r="G17" s="146">
        <v>0</v>
      </c>
      <c r="H17" s="146">
        <v>0</v>
      </c>
    </row>
    <row r="18" spans="1:8" s="148" customFormat="1" x14ac:dyDescent="0.25">
      <c r="A18" s="145">
        <v>9</v>
      </c>
      <c r="B18" s="166" t="s">
        <v>66</v>
      </c>
      <c r="C18" s="49" t="s">
        <v>67</v>
      </c>
      <c r="D18" s="146">
        <v>0</v>
      </c>
      <c r="E18" s="146">
        <v>0</v>
      </c>
      <c r="F18" s="146">
        <f t="shared" si="2"/>
        <v>0</v>
      </c>
      <c r="G18" s="146">
        <v>0</v>
      </c>
      <c r="H18" s="146">
        <v>0</v>
      </c>
    </row>
    <row r="19" spans="1:8" s="26" customFormat="1" x14ac:dyDescent="0.25">
      <c r="A19" s="145">
        <v>10</v>
      </c>
      <c r="B19" s="166" t="s">
        <v>68</v>
      </c>
      <c r="C19" s="49" t="s">
        <v>69</v>
      </c>
      <c r="D19" s="146">
        <v>0</v>
      </c>
      <c r="E19" s="146">
        <v>0</v>
      </c>
      <c r="F19" s="146">
        <f t="shared" si="2"/>
        <v>0</v>
      </c>
      <c r="G19" s="146">
        <v>0</v>
      </c>
      <c r="H19" s="146">
        <v>0</v>
      </c>
    </row>
    <row r="20" spans="1:8" s="26" customFormat="1" x14ac:dyDescent="0.25">
      <c r="A20" s="145">
        <v>11</v>
      </c>
      <c r="B20" s="166" t="s">
        <v>70</v>
      </c>
      <c r="C20" s="49" t="s">
        <v>71</v>
      </c>
      <c r="D20" s="146">
        <v>0</v>
      </c>
      <c r="E20" s="146">
        <v>0</v>
      </c>
      <c r="F20" s="146">
        <f t="shared" si="2"/>
        <v>0</v>
      </c>
      <c r="G20" s="146">
        <v>0</v>
      </c>
      <c r="H20" s="146">
        <v>0</v>
      </c>
    </row>
    <row r="21" spans="1:8" s="26" customFormat="1" x14ac:dyDescent="0.25">
      <c r="A21" s="145">
        <v>12</v>
      </c>
      <c r="B21" s="166" t="s">
        <v>72</v>
      </c>
      <c r="C21" s="49" t="s">
        <v>73</v>
      </c>
      <c r="D21" s="146">
        <v>0</v>
      </c>
      <c r="E21" s="146">
        <v>0</v>
      </c>
      <c r="F21" s="146">
        <f t="shared" si="2"/>
        <v>0</v>
      </c>
      <c r="G21" s="146">
        <v>0</v>
      </c>
      <c r="H21" s="146">
        <v>0</v>
      </c>
    </row>
    <row r="22" spans="1:8" s="26" customFormat="1" x14ac:dyDescent="0.25">
      <c r="A22" s="588">
        <v>13</v>
      </c>
      <c r="B22" s="604" t="s">
        <v>74</v>
      </c>
      <c r="C22" s="30" t="s">
        <v>75</v>
      </c>
      <c r="D22" s="556">
        <v>0</v>
      </c>
      <c r="E22" s="556">
        <v>0</v>
      </c>
      <c r="F22" s="556">
        <f t="shared" si="2"/>
        <v>0</v>
      </c>
      <c r="G22" s="556">
        <v>0</v>
      </c>
      <c r="H22" s="556">
        <v>0</v>
      </c>
    </row>
    <row r="23" spans="1:8" s="26" customFormat="1" x14ac:dyDescent="0.25">
      <c r="A23" s="588">
        <v>14</v>
      </c>
      <c r="B23" s="604" t="s">
        <v>76</v>
      </c>
      <c r="C23" s="30" t="s">
        <v>77</v>
      </c>
      <c r="D23" s="556">
        <v>0</v>
      </c>
      <c r="E23" s="556">
        <v>0</v>
      </c>
      <c r="F23" s="556">
        <f t="shared" si="2"/>
        <v>0</v>
      </c>
      <c r="G23" s="556">
        <v>0</v>
      </c>
      <c r="H23" s="556">
        <v>0</v>
      </c>
    </row>
    <row r="24" spans="1:8" s="26" customFormat="1" x14ac:dyDescent="0.25">
      <c r="A24" s="588">
        <v>15</v>
      </c>
      <c r="B24" s="604" t="s">
        <v>78</v>
      </c>
      <c r="C24" s="30" t="s">
        <v>79</v>
      </c>
      <c r="D24" s="556">
        <v>0</v>
      </c>
      <c r="E24" s="556">
        <v>0</v>
      </c>
      <c r="F24" s="556">
        <f t="shared" si="2"/>
        <v>0</v>
      </c>
      <c r="G24" s="556">
        <v>0</v>
      </c>
      <c r="H24" s="556">
        <v>0</v>
      </c>
    </row>
    <row r="25" spans="1:8" s="26" customFormat="1" x14ac:dyDescent="0.25">
      <c r="A25" s="588">
        <v>16</v>
      </c>
      <c r="B25" s="604" t="s">
        <v>80</v>
      </c>
      <c r="C25" s="30" t="s">
        <v>81</v>
      </c>
      <c r="D25" s="556">
        <v>0</v>
      </c>
      <c r="E25" s="556">
        <v>0</v>
      </c>
      <c r="F25" s="556">
        <f t="shared" si="2"/>
        <v>0</v>
      </c>
      <c r="G25" s="556">
        <v>0</v>
      </c>
      <c r="H25" s="556">
        <v>0</v>
      </c>
    </row>
    <row r="26" spans="1:8" s="26" customFormat="1" x14ac:dyDescent="0.25">
      <c r="A26" s="588">
        <v>17</v>
      </c>
      <c r="B26" s="604" t="s">
        <v>20</v>
      </c>
      <c r="C26" s="30" t="s">
        <v>21</v>
      </c>
      <c r="D26" s="556">
        <v>0</v>
      </c>
      <c r="E26" s="556">
        <v>200</v>
      </c>
      <c r="F26" s="556">
        <f t="shared" si="2"/>
        <v>200</v>
      </c>
      <c r="G26" s="556">
        <v>0</v>
      </c>
      <c r="H26" s="556">
        <v>200</v>
      </c>
    </row>
    <row r="27" spans="1:8" s="26" customFormat="1" x14ac:dyDescent="0.25">
      <c r="A27" s="588">
        <v>18</v>
      </c>
      <c r="B27" s="70" t="s">
        <v>82</v>
      </c>
      <c r="C27" s="30" t="s">
        <v>83</v>
      </c>
      <c r="D27" s="556">
        <v>0</v>
      </c>
      <c r="E27" s="556">
        <v>0</v>
      </c>
      <c r="F27" s="556">
        <f t="shared" si="2"/>
        <v>0</v>
      </c>
      <c r="G27" s="556">
        <v>0</v>
      </c>
      <c r="H27" s="556">
        <v>0</v>
      </c>
    </row>
    <row r="28" spans="1:8" s="26" customFormat="1" x14ac:dyDescent="0.25">
      <c r="A28" s="588">
        <v>19</v>
      </c>
      <c r="B28" s="70" t="s">
        <v>84</v>
      </c>
      <c r="C28" s="30" t="s">
        <v>85</v>
      </c>
      <c r="D28" s="556">
        <v>0</v>
      </c>
      <c r="E28" s="556">
        <v>0</v>
      </c>
      <c r="F28" s="556">
        <f t="shared" si="2"/>
        <v>0</v>
      </c>
      <c r="G28" s="556">
        <v>0</v>
      </c>
      <c r="H28" s="556">
        <v>0</v>
      </c>
    </row>
    <row r="29" spans="1:8" s="148" customFormat="1" x14ac:dyDescent="0.25">
      <c r="A29" s="588">
        <v>20</v>
      </c>
      <c r="B29" s="70" t="s">
        <v>86</v>
      </c>
      <c r="C29" s="30" t="s">
        <v>87</v>
      </c>
      <c r="D29" s="556">
        <v>0</v>
      </c>
      <c r="E29" s="556">
        <v>0</v>
      </c>
      <c r="F29" s="556">
        <f t="shared" si="2"/>
        <v>0</v>
      </c>
      <c r="G29" s="556">
        <v>0</v>
      </c>
      <c r="H29" s="556">
        <v>0</v>
      </c>
    </row>
    <row r="30" spans="1:8" s="26" customFormat="1" x14ac:dyDescent="0.25">
      <c r="A30" s="588">
        <v>21</v>
      </c>
      <c r="B30" s="70" t="s">
        <v>22</v>
      </c>
      <c r="C30" s="30" t="s">
        <v>23</v>
      </c>
      <c r="D30" s="556">
        <v>0</v>
      </c>
      <c r="E30" s="556">
        <v>100</v>
      </c>
      <c r="F30" s="556">
        <f t="shared" si="2"/>
        <v>106</v>
      </c>
      <c r="G30" s="556">
        <v>0</v>
      </c>
      <c r="H30" s="556">
        <v>106</v>
      </c>
    </row>
    <row r="31" spans="1:8" s="26" customFormat="1" x14ac:dyDescent="0.25">
      <c r="A31" s="588">
        <v>22</v>
      </c>
      <c r="B31" s="604" t="s">
        <v>24</v>
      </c>
      <c r="C31" s="30" t="s">
        <v>25</v>
      </c>
      <c r="D31" s="556">
        <v>0</v>
      </c>
      <c r="E31" s="556">
        <v>0</v>
      </c>
      <c r="F31" s="556">
        <f t="shared" si="2"/>
        <v>0</v>
      </c>
      <c r="G31" s="556">
        <v>0</v>
      </c>
      <c r="H31" s="556">
        <v>0</v>
      </c>
    </row>
    <row r="32" spans="1:8" x14ac:dyDescent="0.25">
      <c r="A32" s="588">
        <v>23</v>
      </c>
      <c r="B32" s="604" t="s">
        <v>88</v>
      </c>
      <c r="C32" s="30" t="s">
        <v>89</v>
      </c>
      <c r="D32" s="556">
        <v>0</v>
      </c>
      <c r="E32" s="556">
        <v>0</v>
      </c>
      <c r="F32" s="556">
        <f t="shared" si="2"/>
        <v>0</v>
      </c>
      <c r="G32" s="556">
        <v>0</v>
      </c>
      <c r="H32" s="556">
        <v>0</v>
      </c>
    </row>
    <row r="33" spans="1:8" s="148" customFormat="1" ht="12.75" customHeight="1" x14ac:dyDescent="0.25">
      <c r="A33" s="588">
        <v>24</v>
      </c>
      <c r="B33" s="604" t="s">
        <v>90</v>
      </c>
      <c r="C33" s="30" t="s">
        <v>91</v>
      </c>
      <c r="D33" s="556">
        <v>0</v>
      </c>
      <c r="E33" s="556">
        <v>0</v>
      </c>
      <c r="F33" s="556">
        <f t="shared" si="2"/>
        <v>0</v>
      </c>
      <c r="G33" s="556">
        <v>0</v>
      </c>
      <c r="H33" s="556">
        <v>0</v>
      </c>
    </row>
    <row r="34" spans="1:8" s="148" customFormat="1" ht="24" x14ac:dyDescent="0.25">
      <c r="A34" s="1132">
        <v>25</v>
      </c>
      <c r="B34" s="70" t="s">
        <v>92</v>
      </c>
      <c r="C34" s="144" t="s">
        <v>784</v>
      </c>
      <c r="D34" s="556">
        <v>0</v>
      </c>
      <c r="E34" s="556">
        <v>461</v>
      </c>
      <c r="F34" s="556">
        <f t="shared" si="2"/>
        <v>253</v>
      </c>
      <c r="G34" s="556">
        <v>0</v>
      </c>
      <c r="H34" s="556">
        <v>253</v>
      </c>
    </row>
    <row r="35" spans="1:8" s="26" customFormat="1" x14ac:dyDescent="0.25">
      <c r="A35" s="1134"/>
      <c r="B35" s="604" t="s">
        <v>94</v>
      </c>
      <c r="C35" s="30" t="s">
        <v>95</v>
      </c>
      <c r="D35" s="556">
        <v>0</v>
      </c>
      <c r="E35" s="556">
        <v>0</v>
      </c>
      <c r="F35" s="556">
        <f t="shared" si="2"/>
        <v>0</v>
      </c>
      <c r="G35" s="556">
        <v>0</v>
      </c>
      <c r="H35" s="556">
        <v>0</v>
      </c>
    </row>
    <row r="36" spans="1:8" s="26" customFormat="1" x14ac:dyDescent="0.25">
      <c r="A36" s="588">
        <v>26</v>
      </c>
      <c r="B36" s="71" t="s">
        <v>96</v>
      </c>
      <c r="C36" s="30" t="s">
        <v>97</v>
      </c>
      <c r="D36" s="556">
        <v>0</v>
      </c>
      <c r="E36" s="556">
        <v>0</v>
      </c>
      <c r="F36" s="556">
        <f t="shared" si="2"/>
        <v>0</v>
      </c>
      <c r="G36" s="556">
        <v>0</v>
      </c>
      <c r="H36" s="556">
        <v>0</v>
      </c>
    </row>
    <row r="37" spans="1:8" s="26" customFormat="1" x14ac:dyDescent="0.25">
      <c r="A37" s="588">
        <v>27</v>
      </c>
      <c r="B37" s="71" t="s">
        <v>26</v>
      </c>
      <c r="C37" s="30" t="s">
        <v>27</v>
      </c>
      <c r="D37" s="556">
        <v>0</v>
      </c>
      <c r="E37" s="556">
        <v>100</v>
      </c>
      <c r="F37" s="556">
        <f t="shared" si="2"/>
        <v>106</v>
      </c>
      <c r="G37" s="556">
        <v>0</v>
      </c>
      <c r="H37" s="556">
        <v>106</v>
      </c>
    </row>
    <row r="38" spans="1:8" s="26" customFormat="1" x14ac:dyDescent="0.25">
      <c r="A38" s="588">
        <v>28</v>
      </c>
      <c r="B38" s="70" t="s">
        <v>98</v>
      </c>
      <c r="C38" s="30" t="s">
        <v>99</v>
      </c>
      <c r="D38" s="556">
        <v>0</v>
      </c>
      <c r="E38" s="556">
        <v>0</v>
      </c>
      <c r="F38" s="556">
        <f t="shared" si="2"/>
        <v>0</v>
      </c>
      <c r="G38" s="556">
        <v>0</v>
      </c>
      <c r="H38" s="556">
        <v>0</v>
      </c>
    </row>
    <row r="39" spans="1:8" s="26" customFormat="1" x14ac:dyDescent="0.25">
      <c r="A39" s="588">
        <v>29</v>
      </c>
      <c r="B39" s="71" t="s">
        <v>100</v>
      </c>
      <c r="C39" s="30" t="s">
        <v>101</v>
      </c>
      <c r="D39" s="556">
        <v>0</v>
      </c>
      <c r="E39" s="556">
        <v>0</v>
      </c>
      <c r="F39" s="556">
        <f t="shared" si="2"/>
        <v>0</v>
      </c>
      <c r="G39" s="556">
        <v>0</v>
      </c>
      <c r="H39" s="556">
        <v>0</v>
      </c>
    </row>
    <row r="40" spans="1:8" s="148" customFormat="1" x14ac:dyDescent="0.25">
      <c r="A40" s="588">
        <v>30</v>
      </c>
      <c r="B40" s="604" t="s">
        <v>102</v>
      </c>
      <c r="C40" s="30" t="s">
        <v>103</v>
      </c>
      <c r="D40" s="556">
        <v>0</v>
      </c>
      <c r="E40" s="556">
        <v>0</v>
      </c>
      <c r="F40" s="556">
        <f t="shared" si="2"/>
        <v>0</v>
      </c>
      <c r="G40" s="556">
        <v>0</v>
      </c>
      <c r="H40" s="556">
        <v>0</v>
      </c>
    </row>
    <row r="41" spans="1:8" x14ac:dyDescent="0.25">
      <c r="A41" s="588">
        <v>31</v>
      </c>
      <c r="B41" s="71" t="s">
        <v>104</v>
      </c>
      <c r="C41" s="30" t="s">
        <v>105</v>
      </c>
      <c r="D41" s="556">
        <v>0</v>
      </c>
      <c r="E41" s="556">
        <v>0</v>
      </c>
      <c r="F41" s="556">
        <f t="shared" si="2"/>
        <v>0</v>
      </c>
      <c r="G41" s="556">
        <v>0</v>
      </c>
      <c r="H41" s="556">
        <v>0</v>
      </c>
    </row>
    <row r="42" spans="1:8" s="26" customFormat="1" x14ac:dyDescent="0.25">
      <c r="A42" s="588">
        <v>32</v>
      </c>
      <c r="B42" s="70" t="s">
        <v>106</v>
      </c>
      <c r="C42" s="30" t="s">
        <v>107</v>
      </c>
      <c r="D42" s="556">
        <v>0</v>
      </c>
      <c r="E42" s="556">
        <v>0</v>
      </c>
      <c r="F42" s="556">
        <f t="shared" si="2"/>
        <v>0</v>
      </c>
      <c r="G42" s="556">
        <v>0</v>
      </c>
      <c r="H42" s="556">
        <v>0</v>
      </c>
    </row>
    <row r="43" spans="1:8" s="26" customFormat="1" x14ac:dyDescent="0.25">
      <c r="A43" s="588">
        <v>33</v>
      </c>
      <c r="B43" s="589" t="s">
        <v>108</v>
      </c>
      <c r="C43" s="590" t="s">
        <v>109</v>
      </c>
      <c r="D43" s="556">
        <v>0</v>
      </c>
      <c r="E43" s="556">
        <v>0</v>
      </c>
      <c r="F43" s="556">
        <f t="shared" si="2"/>
        <v>0</v>
      </c>
      <c r="G43" s="556">
        <v>0</v>
      </c>
      <c r="H43" s="556">
        <v>0</v>
      </c>
    </row>
    <row r="44" spans="1:8" s="26" customFormat="1" x14ac:dyDescent="0.25">
      <c r="A44" s="588">
        <v>34</v>
      </c>
      <c r="B44" s="70" t="s">
        <v>110</v>
      </c>
      <c r="C44" s="30" t="s">
        <v>111</v>
      </c>
      <c r="D44" s="556">
        <v>0</v>
      </c>
      <c r="E44" s="556">
        <v>0</v>
      </c>
      <c r="F44" s="556">
        <f t="shared" si="2"/>
        <v>0</v>
      </c>
      <c r="G44" s="556">
        <v>0</v>
      </c>
      <c r="H44" s="556">
        <v>0</v>
      </c>
    </row>
    <row r="45" spans="1:8" x14ac:dyDescent="0.25">
      <c r="A45" s="588">
        <v>35</v>
      </c>
      <c r="B45" s="70" t="s">
        <v>112</v>
      </c>
      <c r="C45" s="30" t="s">
        <v>113</v>
      </c>
      <c r="D45" s="556">
        <v>0</v>
      </c>
      <c r="E45" s="556">
        <v>0</v>
      </c>
      <c r="F45" s="556">
        <f t="shared" si="2"/>
        <v>0</v>
      </c>
      <c r="G45" s="556">
        <v>0</v>
      </c>
      <c r="H45" s="556">
        <v>0</v>
      </c>
    </row>
    <row r="46" spans="1:8" s="26" customFormat="1" x14ac:dyDescent="0.25">
      <c r="A46" s="588">
        <v>36</v>
      </c>
      <c r="B46" s="604" t="s">
        <v>114</v>
      </c>
      <c r="C46" s="30" t="s">
        <v>115</v>
      </c>
      <c r="D46" s="556">
        <v>0</v>
      </c>
      <c r="E46" s="556">
        <v>0</v>
      </c>
      <c r="F46" s="556">
        <f t="shared" si="2"/>
        <v>0</v>
      </c>
      <c r="G46" s="556">
        <v>0</v>
      </c>
      <c r="H46" s="556">
        <v>0</v>
      </c>
    </row>
    <row r="47" spans="1:8" s="26" customFormat="1" x14ac:dyDescent="0.25">
      <c r="A47" s="588">
        <v>37</v>
      </c>
      <c r="B47" s="71" t="s">
        <v>116</v>
      </c>
      <c r="C47" s="30" t="s">
        <v>117</v>
      </c>
      <c r="D47" s="556">
        <v>0</v>
      </c>
      <c r="E47" s="556">
        <v>0</v>
      </c>
      <c r="F47" s="556">
        <f t="shared" si="2"/>
        <v>0</v>
      </c>
      <c r="G47" s="556">
        <v>0</v>
      </c>
      <c r="H47" s="556">
        <v>0</v>
      </c>
    </row>
    <row r="48" spans="1:8" s="26" customFormat="1" x14ac:dyDescent="0.25">
      <c r="A48" s="588">
        <v>38</v>
      </c>
      <c r="B48" s="604" t="s">
        <v>28</v>
      </c>
      <c r="C48" s="30" t="s">
        <v>29</v>
      </c>
      <c r="D48" s="556">
        <v>0</v>
      </c>
      <c r="E48" s="556">
        <v>200</v>
      </c>
      <c r="F48" s="556">
        <f t="shared" si="2"/>
        <v>212</v>
      </c>
      <c r="G48" s="556">
        <v>0</v>
      </c>
      <c r="H48" s="556">
        <v>212</v>
      </c>
    </row>
    <row r="49" spans="1:8" s="26" customFormat="1" x14ac:dyDescent="0.25">
      <c r="A49" s="588">
        <v>39</v>
      </c>
      <c r="B49" s="70" t="s">
        <v>118</v>
      </c>
      <c r="C49" s="30" t="s">
        <v>119</v>
      </c>
      <c r="D49" s="556">
        <v>0</v>
      </c>
      <c r="E49" s="556">
        <v>0</v>
      </c>
      <c r="F49" s="556">
        <f t="shared" si="2"/>
        <v>0</v>
      </c>
      <c r="G49" s="556">
        <v>0</v>
      </c>
      <c r="H49" s="556">
        <v>0</v>
      </c>
    </row>
    <row r="50" spans="1:8" s="26" customFormat="1" x14ac:dyDescent="0.25">
      <c r="A50" s="588">
        <v>40</v>
      </c>
      <c r="B50" s="70" t="s">
        <v>120</v>
      </c>
      <c r="C50" s="30" t="s">
        <v>121</v>
      </c>
      <c r="D50" s="556">
        <v>0</v>
      </c>
      <c r="E50" s="556">
        <v>0</v>
      </c>
      <c r="F50" s="556">
        <f t="shared" si="2"/>
        <v>0</v>
      </c>
      <c r="G50" s="556">
        <v>0</v>
      </c>
      <c r="H50" s="556">
        <v>0</v>
      </c>
    </row>
    <row r="51" spans="1:8" s="148" customFormat="1" x14ac:dyDescent="0.25">
      <c r="A51" s="588">
        <v>41</v>
      </c>
      <c r="B51" s="604" t="s">
        <v>122</v>
      </c>
      <c r="C51" s="30" t="s">
        <v>123</v>
      </c>
      <c r="D51" s="556">
        <v>0</v>
      </c>
      <c r="E51" s="556">
        <v>0</v>
      </c>
      <c r="F51" s="556">
        <f t="shared" si="2"/>
        <v>0</v>
      </c>
      <c r="G51" s="556">
        <v>0</v>
      </c>
      <c r="H51" s="556">
        <v>0</v>
      </c>
    </row>
    <row r="52" spans="1:8" s="26" customFormat="1" x14ac:dyDescent="0.25">
      <c r="A52" s="588">
        <v>42</v>
      </c>
      <c r="B52" s="71" t="s">
        <v>124</v>
      </c>
      <c r="C52" s="30" t="s">
        <v>125</v>
      </c>
      <c r="D52" s="556">
        <v>0</v>
      </c>
      <c r="E52" s="556">
        <v>0</v>
      </c>
      <c r="F52" s="556">
        <f t="shared" si="2"/>
        <v>0</v>
      </c>
      <c r="G52" s="556">
        <v>0</v>
      </c>
      <c r="H52" s="556">
        <v>0</v>
      </c>
    </row>
    <row r="53" spans="1:8" s="26" customFormat="1" x14ac:dyDescent="0.25">
      <c r="A53" s="588">
        <v>43</v>
      </c>
      <c r="B53" s="604" t="s">
        <v>126</v>
      </c>
      <c r="C53" s="30" t="s">
        <v>127</v>
      </c>
      <c r="D53" s="556">
        <v>0</v>
      </c>
      <c r="E53" s="556">
        <v>0</v>
      </c>
      <c r="F53" s="556">
        <f t="shared" si="2"/>
        <v>0</v>
      </c>
      <c r="G53" s="556">
        <v>0</v>
      </c>
      <c r="H53" s="556">
        <v>0</v>
      </c>
    </row>
    <row r="54" spans="1:8" s="26" customFormat="1" x14ac:dyDescent="0.25">
      <c r="A54" s="588">
        <v>44</v>
      </c>
      <c r="B54" s="71" t="s">
        <v>128</v>
      </c>
      <c r="C54" s="30" t="s">
        <v>129</v>
      </c>
      <c r="D54" s="556">
        <v>0</v>
      </c>
      <c r="E54" s="556">
        <v>0</v>
      </c>
      <c r="F54" s="556">
        <f t="shared" si="2"/>
        <v>0</v>
      </c>
      <c r="G54" s="556">
        <v>0</v>
      </c>
      <c r="H54" s="556">
        <v>0</v>
      </c>
    </row>
    <row r="55" spans="1:8" s="26" customFormat="1" x14ac:dyDescent="0.25">
      <c r="A55" s="588">
        <v>45</v>
      </c>
      <c r="B55" s="604" t="s">
        <v>130</v>
      </c>
      <c r="C55" s="30" t="s">
        <v>131</v>
      </c>
      <c r="D55" s="556">
        <v>0</v>
      </c>
      <c r="E55" s="556">
        <v>0</v>
      </c>
      <c r="F55" s="556">
        <f t="shared" si="2"/>
        <v>0</v>
      </c>
      <c r="G55" s="556">
        <v>0</v>
      </c>
      <c r="H55" s="556">
        <v>0</v>
      </c>
    </row>
    <row r="56" spans="1:8" s="26" customFormat="1" x14ac:dyDescent="0.25">
      <c r="A56" s="588">
        <v>46</v>
      </c>
      <c r="B56" s="71" t="s">
        <v>132</v>
      </c>
      <c r="C56" s="30" t="s">
        <v>133</v>
      </c>
      <c r="D56" s="556">
        <v>0</v>
      </c>
      <c r="E56" s="556">
        <v>0</v>
      </c>
      <c r="F56" s="556">
        <f t="shared" si="2"/>
        <v>0</v>
      </c>
      <c r="G56" s="556">
        <v>0</v>
      </c>
      <c r="H56" s="556">
        <v>0</v>
      </c>
    </row>
    <row r="57" spans="1:8" s="26" customFormat="1" x14ac:dyDescent="0.25">
      <c r="A57" s="588">
        <v>47</v>
      </c>
      <c r="B57" s="604" t="s">
        <v>134</v>
      </c>
      <c r="C57" s="30" t="s">
        <v>135</v>
      </c>
      <c r="D57" s="556">
        <v>0</v>
      </c>
      <c r="E57" s="556">
        <v>0</v>
      </c>
      <c r="F57" s="556">
        <f t="shared" si="2"/>
        <v>0</v>
      </c>
      <c r="G57" s="556">
        <v>0</v>
      </c>
      <c r="H57" s="556">
        <v>0</v>
      </c>
    </row>
    <row r="58" spans="1:8" s="26" customFormat="1" x14ac:dyDescent="0.25">
      <c r="A58" s="588">
        <v>48</v>
      </c>
      <c r="B58" s="604" t="s">
        <v>136</v>
      </c>
      <c r="C58" s="30" t="s">
        <v>137</v>
      </c>
      <c r="D58" s="556">
        <v>0</v>
      </c>
      <c r="E58" s="556">
        <v>0</v>
      </c>
      <c r="F58" s="556">
        <f t="shared" si="2"/>
        <v>0</v>
      </c>
      <c r="G58" s="556">
        <v>0</v>
      </c>
      <c r="H58" s="556">
        <v>0</v>
      </c>
    </row>
    <row r="59" spans="1:8" s="26" customFormat="1" x14ac:dyDescent="0.25">
      <c r="A59" s="588">
        <v>49</v>
      </c>
      <c r="B59" s="604" t="s">
        <v>138</v>
      </c>
      <c r="C59" s="30" t="s">
        <v>139</v>
      </c>
      <c r="D59" s="556">
        <v>0</v>
      </c>
      <c r="E59" s="556">
        <v>0</v>
      </c>
      <c r="F59" s="556">
        <f t="shared" si="2"/>
        <v>0</v>
      </c>
      <c r="G59" s="556">
        <v>0</v>
      </c>
      <c r="H59" s="556">
        <v>0</v>
      </c>
    </row>
    <row r="60" spans="1:8" s="26" customFormat="1" x14ac:dyDescent="0.25">
      <c r="A60" s="588">
        <v>50</v>
      </c>
      <c r="B60" s="604" t="s">
        <v>140</v>
      </c>
      <c r="C60" s="30" t="s">
        <v>141</v>
      </c>
      <c r="D60" s="556">
        <v>0</v>
      </c>
      <c r="E60" s="556">
        <v>0</v>
      </c>
      <c r="F60" s="556">
        <f t="shared" si="2"/>
        <v>0</v>
      </c>
      <c r="G60" s="556">
        <v>0</v>
      </c>
      <c r="H60" s="556">
        <v>0</v>
      </c>
    </row>
    <row r="61" spans="1:8" s="26" customFormat="1" x14ac:dyDescent="0.25">
      <c r="A61" s="588">
        <v>51</v>
      </c>
      <c r="B61" s="71" t="s">
        <v>142</v>
      </c>
      <c r="C61" s="30" t="s">
        <v>143</v>
      </c>
      <c r="D61" s="556">
        <v>0</v>
      </c>
      <c r="E61" s="556">
        <v>0</v>
      </c>
      <c r="F61" s="556">
        <f t="shared" si="2"/>
        <v>0</v>
      </c>
      <c r="G61" s="556">
        <v>0</v>
      </c>
      <c r="H61" s="556">
        <v>0</v>
      </c>
    </row>
    <row r="62" spans="1:8" s="26" customFormat="1" x14ac:dyDescent="0.25">
      <c r="A62" s="588">
        <v>52</v>
      </c>
      <c r="B62" s="604" t="s">
        <v>144</v>
      </c>
      <c r="C62" s="30" t="s">
        <v>145</v>
      </c>
      <c r="D62" s="556">
        <v>0</v>
      </c>
      <c r="E62" s="556">
        <v>0</v>
      </c>
      <c r="F62" s="556">
        <f t="shared" si="2"/>
        <v>0</v>
      </c>
      <c r="G62" s="556">
        <v>0</v>
      </c>
      <c r="H62" s="556">
        <v>0</v>
      </c>
    </row>
    <row r="63" spans="1:8" s="26" customFormat="1" x14ac:dyDescent="0.25">
      <c r="A63" s="588">
        <v>53</v>
      </c>
      <c r="B63" s="604" t="s">
        <v>146</v>
      </c>
      <c r="C63" s="30" t="s">
        <v>147</v>
      </c>
      <c r="D63" s="556">
        <v>0</v>
      </c>
      <c r="E63" s="556">
        <v>0</v>
      </c>
      <c r="F63" s="556">
        <f t="shared" si="2"/>
        <v>0</v>
      </c>
      <c r="G63" s="556">
        <v>0</v>
      </c>
      <c r="H63" s="556">
        <v>0</v>
      </c>
    </row>
    <row r="64" spans="1:8" s="26" customFormat="1" x14ac:dyDescent="0.25">
      <c r="A64" s="588">
        <v>54</v>
      </c>
      <c r="B64" s="604" t="s">
        <v>148</v>
      </c>
      <c r="C64" s="30" t="s">
        <v>149</v>
      </c>
      <c r="D64" s="556">
        <v>0</v>
      </c>
      <c r="E64" s="556">
        <v>0</v>
      </c>
      <c r="F64" s="556">
        <f t="shared" si="2"/>
        <v>0</v>
      </c>
      <c r="G64" s="556">
        <v>0</v>
      </c>
      <c r="H64" s="556">
        <v>0</v>
      </c>
    </row>
    <row r="65" spans="1:8" s="26" customFormat="1" x14ac:dyDescent="0.25">
      <c r="A65" s="588">
        <v>55</v>
      </c>
      <c r="B65" s="71" t="s">
        <v>150</v>
      </c>
      <c r="C65" s="30" t="s">
        <v>151</v>
      </c>
      <c r="D65" s="556">
        <v>0</v>
      </c>
      <c r="E65" s="556">
        <v>0</v>
      </c>
      <c r="F65" s="556">
        <f t="shared" si="2"/>
        <v>0</v>
      </c>
      <c r="G65" s="556">
        <v>0</v>
      </c>
      <c r="H65" s="556">
        <v>0</v>
      </c>
    </row>
    <row r="66" spans="1:8" s="26" customFormat="1" x14ac:dyDescent="0.25">
      <c r="A66" s="588">
        <v>56</v>
      </c>
      <c r="B66" s="71" t="s">
        <v>154</v>
      </c>
      <c r="C66" s="30" t="s">
        <v>155</v>
      </c>
      <c r="D66" s="556">
        <v>0</v>
      </c>
      <c r="E66" s="556">
        <v>0</v>
      </c>
      <c r="F66" s="556">
        <f t="shared" si="2"/>
        <v>0</v>
      </c>
      <c r="G66" s="556">
        <v>0</v>
      </c>
      <c r="H66" s="556">
        <v>0</v>
      </c>
    </row>
    <row r="67" spans="1:8" s="26" customFormat="1" ht="24" x14ac:dyDescent="0.25">
      <c r="A67" s="588">
        <v>57</v>
      </c>
      <c r="B67" s="70" t="s">
        <v>158</v>
      </c>
      <c r="C67" s="30" t="s">
        <v>159</v>
      </c>
      <c r="D67" s="556">
        <v>0</v>
      </c>
      <c r="E67" s="556">
        <v>0</v>
      </c>
      <c r="F67" s="556">
        <f t="shared" si="2"/>
        <v>0</v>
      </c>
      <c r="G67" s="556">
        <v>0</v>
      </c>
      <c r="H67" s="556">
        <v>0</v>
      </c>
    </row>
    <row r="68" spans="1:8" s="26" customFormat="1" ht="24" x14ac:dyDescent="0.25">
      <c r="A68" s="588">
        <v>58</v>
      </c>
      <c r="B68" s="70" t="s">
        <v>160</v>
      </c>
      <c r="C68" s="30" t="s">
        <v>161</v>
      </c>
      <c r="D68" s="556">
        <v>0</v>
      </c>
      <c r="E68" s="556">
        <v>0</v>
      </c>
      <c r="F68" s="556">
        <f t="shared" si="2"/>
        <v>0</v>
      </c>
      <c r="G68" s="556">
        <v>0</v>
      </c>
      <c r="H68" s="556">
        <v>0</v>
      </c>
    </row>
    <row r="69" spans="1:8" s="26" customFormat="1" x14ac:dyDescent="0.25">
      <c r="A69" s="588">
        <v>59</v>
      </c>
      <c r="B69" s="71" t="s">
        <v>162</v>
      </c>
      <c r="C69" s="30" t="s">
        <v>163</v>
      </c>
      <c r="D69" s="556">
        <v>0</v>
      </c>
      <c r="E69" s="556">
        <v>0</v>
      </c>
      <c r="F69" s="556">
        <f t="shared" si="2"/>
        <v>0</v>
      </c>
      <c r="G69" s="556">
        <v>0</v>
      </c>
      <c r="H69" s="556">
        <v>0</v>
      </c>
    </row>
    <row r="70" spans="1:8" s="26" customFormat="1" x14ac:dyDescent="0.25">
      <c r="A70" s="588">
        <v>60</v>
      </c>
      <c r="B70" s="71" t="s">
        <v>164</v>
      </c>
      <c r="C70" s="30" t="s">
        <v>165</v>
      </c>
      <c r="D70" s="556">
        <v>0</v>
      </c>
      <c r="E70" s="556">
        <v>0</v>
      </c>
      <c r="F70" s="556">
        <f t="shared" si="2"/>
        <v>0</v>
      </c>
      <c r="G70" s="556">
        <v>0</v>
      </c>
      <c r="H70" s="556">
        <v>0</v>
      </c>
    </row>
    <row r="71" spans="1:8" s="26" customFormat="1" x14ac:dyDescent="0.25">
      <c r="A71" s="588">
        <v>61</v>
      </c>
      <c r="B71" s="71" t="s">
        <v>166</v>
      </c>
      <c r="C71" s="30" t="s">
        <v>167</v>
      </c>
      <c r="D71" s="556">
        <v>0</v>
      </c>
      <c r="E71" s="556">
        <v>0</v>
      </c>
      <c r="F71" s="556">
        <f t="shared" si="2"/>
        <v>0</v>
      </c>
      <c r="G71" s="556">
        <v>0</v>
      </c>
      <c r="H71" s="556">
        <v>0</v>
      </c>
    </row>
    <row r="72" spans="1:8" s="26" customFormat="1" ht="24" customHeight="1" x14ac:dyDescent="0.25">
      <c r="A72" s="1132">
        <v>62</v>
      </c>
      <c r="B72" s="70" t="s">
        <v>170</v>
      </c>
      <c r="C72" s="144" t="s">
        <v>785</v>
      </c>
      <c r="D72" s="556">
        <v>0</v>
      </c>
      <c r="E72" s="556">
        <v>0</v>
      </c>
      <c r="F72" s="556">
        <f t="shared" ref="F72:F138" si="3">G72+H72</f>
        <v>0</v>
      </c>
      <c r="G72" s="556">
        <v>0</v>
      </c>
      <c r="H72" s="556">
        <v>0</v>
      </c>
    </row>
    <row r="73" spans="1:8" s="26" customFormat="1" x14ac:dyDescent="0.25">
      <c r="A73" s="1133"/>
      <c r="B73" s="70" t="s">
        <v>168</v>
      </c>
      <c r="C73" s="30" t="s">
        <v>169</v>
      </c>
      <c r="D73" s="556"/>
      <c r="E73" s="556"/>
      <c r="F73" s="556"/>
      <c r="G73" s="556"/>
      <c r="H73" s="556"/>
    </row>
    <row r="74" spans="1:8" s="26" customFormat="1" x14ac:dyDescent="0.25">
      <c r="A74" s="1134"/>
      <c r="B74" s="70" t="s">
        <v>174</v>
      </c>
      <c r="C74" s="30" t="s">
        <v>175</v>
      </c>
      <c r="D74" s="556"/>
      <c r="E74" s="556"/>
      <c r="F74" s="556"/>
      <c r="G74" s="556"/>
      <c r="H74" s="556"/>
    </row>
    <row r="75" spans="1:8" s="26" customFormat="1" ht="23.25" customHeight="1" x14ac:dyDescent="0.25">
      <c r="A75" s="1132">
        <v>63</v>
      </c>
      <c r="B75" s="70" t="s">
        <v>176</v>
      </c>
      <c r="C75" s="144" t="s">
        <v>788</v>
      </c>
      <c r="D75" s="556">
        <v>0</v>
      </c>
      <c r="E75" s="556">
        <v>0</v>
      </c>
      <c r="F75" s="556">
        <f t="shared" si="3"/>
        <v>0</v>
      </c>
      <c r="G75" s="556">
        <v>0</v>
      </c>
      <c r="H75" s="556">
        <v>0</v>
      </c>
    </row>
    <row r="76" spans="1:8" s="26" customFormat="1" x14ac:dyDescent="0.25">
      <c r="A76" s="1133"/>
      <c r="B76" s="71" t="s">
        <v>172</v>
      </c>
      <c r="C76" s="30" t="s">
        <v>173</v>
      </c>
      <c r="D76" s="556"/>
      <c r="E76" s="556"/>
      <c r="F76" s="556"/>
      <c r="G76" s="556"/>
      <c r="H76" s="556"/>
    </row>
    <row r="77" spans="1:8" s="26" customFormat="1" x14ac:dyDescent="0.25">
      <c r="A77" s="1133"/>
      <c r="B77" s="70" t="s">
        <v>178</v>
      </c>
      <c r="C77" s="30" t="s">
        <v>179</v>
      </c>
      <c r="D77" s="556">
        <v>0</v>
      </c>
      <c r="E77" s="556">
        <v>0</v>
      </c>
      <c r="F77" s="556">
        <f t="shared" si="3"/>
        <v>0</v>
      </c>
      <c r="G77" s="556">
        <v>0</v>
      </c>
      <c r="H77" s="556">
        <v>0</v>
      </c>
    </row>
    <row r="78" spans="1:8" s="26" customFormat="1" x14ac:dyDescent="0.25">
      <c r="A78" s="1134"/>
      <c r="B78" s="70" t="s">
        <v>180</v>
      </c>
      <c r="C78" s="30" t="s">
        <v>181</v>
      </c>
      <c r="D78" s="556">
        <v>0</v>
      </c>
      <c r="E78" s="556">
        <v>0</v>
      </c>
      <c r="F78" s="556">
        <f t="shared" si="3"/>
        <v>0</v>
      </c>
      <c r="G78" s="556">
        <v>0</v>
      </c>
      <c r="H78" s="556">
        <v>0</v>
      </c>
    </row>
    <row r="79" spans="1:8" s="26" customFormat="1" x14ac:dyDescent="0.25">
      <c r="A79" s="588">
        <v>64</v>
      </c>
      <c r="B79" s="604" t="s">
        <v>182</v>
      </c>
      <c r="C79" s="30" t="s">
        <v>183</v>
      </c>
      <c r="D79" s="556">
        <v>0</v>
      </c>
      <c r="E79" s="556">
        <v>0</v>
      </c>
      <c r="F79" s="556">
        <f t="shared" si="3"/>
        <v>0</v>
      </c>
      <c r="G79" s="556">
        <v>0</v>
      </c>
      <c r="H79" s="556">
        <v>0</v>
      </c>
    </row>
    <row r="80" spans="1:8" s="26" customFormat="1" x14ac:dyDescent="0.25">
      <c r="A80" s="588">
        <v>65</v>
      </c>
      <c r="B80" s="70" t="s">
        <v>184</v>
      </c>
      <c r="C80" s="30" t="s">
        <v>185</v>
      </c>
      <c r="D80" s="556">
        <v>0</v>
      </c>
      <c r="E80" s="556">
        <v>0</v>
      </c>
      <c r="F80" s="556">
        <f t="shared" si="3"/>
        <v>0</v>
      </c>
      <c r="G80" s="556">
        <v>0</v>
      </c>
      <c r="H80" s="556">
        <v>0</v>
      </c>
    </row>
    <row r="81" spans="1:8" s="26" customFormat="1" x14ac:dyDescent="0.25">
      <c r="A81" s="588">
        <v>66</v>
      </c>
      <c r="B81" s="604" t="s">
        <v>186</v>
      </c>
      <c r="C81" s="30" t="s">
        <v>187</v>
      </c>
      <c r="D81" s="556">
        <v>0</v>
      </c>
      <c r="E81" s="556">
        <v>0</v>
      </c>
      <c r="F81" s="556">
        <f t="shared" si="3"/>
        <v>0</v>
      </c>
      <c r="G81" s="556">
        <v>0</v>
      </c>
      <c r="H81" s="556">
        <v>0</v>
      </c>
    </row>
    <row r="82" spans="1:8" s="26" customFormat="1" ht="24" x14ac:dyDescent="0.25">
      <c r="A82" s="1132">
        <v>67</v>
      </c>
      <c r="B82" s="70" t="s">
        <v>188</v>
      </c>
      <c r="C82" s="144" t="s">
        <v>787</v>
      </c>
      <c r="D82" s="556">
        <v>0</v>
      </c>
      <c r="E82" s="556">
        <v>0</v>
      </c>
      <c r="F82" s="556">
        <f t="shared" si="3"/>
        <v>0</v>
      </c>
      <c r="G82" s="556">
        <v>0</v>
      </c>
      <c r="H82" s="556">
        <v>0</v>
      </c>
    </row>
    <row r="83" spans="1:8" s="26" customFormat="1" x14ac:dyDescent="0.25">
      <c r="A83" s="1134"/>
      <c r="B83" s="604" t="s">
        <v>156</v>
      </c>
      <c r="C83" s="30" t="s">
        <v>157</v>
      </c>
      <c r="D83" s="556"/>
      <c r="E83" s="556"/>
      <c r="F83" s="556"/>
      <c r="G83" s="556"/>
      <c r="H83" s="556"/>
    </row>
    <row r="84" spans="1:8" s="26" customFormat="1" x14ac:dyDescent="0.25">
      <c r="A84" s="588">
        <v>68</v>
      </c>
      <c r="B84" s="70" t="s">
        <v>190</v>
      </c>
      <c r="C84" s="30" t="s">
        <v>191</v>
      </c>
      <c r="D84" s="556">
        <v>0</v>
      </c>
      <c r="E84" s="556">
        <v>500</v>
      </c>
      <c r="F84" s="556">
        <f t="shared" si="3"/>
        <v>653</v>
      </c>
      <c r="G84" s="556">
        <v>0</v>
      </c>
      <c r="H84" s="556">
        <v>653</v>
      </c>
    </row>
    <row r="85" spans="1:8" s="26" customFormat="1" ht="24" x14ac:dyDescent="0.25">
      <c r="A85" s="1132">
        <v>69</v>
      </c>
      <c r="B85" s="70" t="s">
        <v>192</v>
      </c>
      <c r="C85" s="144" t="s">
        <v>786</v>
      </c>
      <c r="D85" s="556">
        <v>0</v>
      </c>
      <c r="E85" s="556">
        <v>0</v>
      </c>
      <c r="F85" s="556">
        <f t="shared" si="3"/>
        <v>0</v>
      </c>
      <c r="G85" s="556">
        <v>0</v>
      </c>
      <c r="H85" s="556">
        <v>0</v>
      </c>
    </row>
    <row r="86" spans="1:8" s="26" customFormat="1" x14ac:dyDescent="0.25">
      <c r="A86" s="1134"/>
      <c r="B86" s="70" t="s">
        <v>152</v>
      </c>
      <c r="C86" s="30" t="s">
        <v>548</v>
      </c>
      <c r="D86" s="556"/>
      <c r="E86" s="556"/>
      <c r="F86" s="556"/>
      <c r="G86" s="556"/>
      <c r="H86" s="556"/>
    </row>
    <row r="87" spans="1:8" s="26" customFormat="1" x14ac:dyDescent="0.25">
      <c r="A87" s="588">
        <v>70</v>
      </c>
      <c r="B87" s="70" t="s">
        <v>194</v>
      </c>
      <c r="C87" s="30" t="s">
        <v>195</v>
      </c>
      <c r="D87" s="556">
        <v>0</v>
      </c>
      <c r="E87" s="556">
        <v>0</v>
      </c>
      <c r="F87" s="556">
        <f t="shared" si="3"/>
        <v>0</v>
      </c>
      <c r="G87" s="556">
        <v>0</v>
      </c>
      <c r="H87" s="556">
        <v>0</v>
      </c>
    </row>
    <row r="88" spans="1:8" s="26" customFormat="1" x14ac:dyDescent="0.25">
      <c r="A88" s="588">
        <v>71</v>
      </c>
      <c r="B88" s="70" t="s">
        <v>196</v>
      </c>
      <c r="C88" s="30" t="s">
        <v>197</v>
      </c>
      <c r="D88" s="556">
        <v>0</v>
      </c>
      <c r="E88" s="556">
        <v>0</v>
      </c>
      <c r="F88" s="556">
        <f t="shared" si="3"/>
        <v>0</v>
      </c>
      <c r="G88" s="556">
        <v>0</v>
      </c>
      <c r="H88" s="556">
        <v>0</v>
      </c>
    </row>
    <row r="89" spans="1:8" s="26" customFormat="1" x14ac:dyDescent="0.25">
      <c r="A89" s="588">
        <v>72</v>
      </c>
      <c r="B89" s="71" t="s">
        <v>30</v>
      </c>
      <c r="C89" s="30" t="s">
        <v>198</v>
      </c>
      <c r="D89" s="556">
        <v>0</v>
      </c>
      <c r="E89" s="556">
        <v>0</v>
      </c>
      <c r="F89" s="556">
        <f t="shared" si="3"/>
        <v>0</v>
      </c>
      <c r="G89" s="556">
        <v>0</v>
      </c>
      <c r="H89" s="556">
        <v>0</v>
      </c>
    </row>
    <row r="90" spans="1:8" s="26" customFormat="1" ht="24" x14ac:dyDescent="0.25">
      <c r="A90" s="1132">
        <v>73</v>
      </c>
      <c r="B90" s="1135" t="s">
        <v>199</v>
      </c>
      <c r="C90" s="144" t="s">
        <v>200</v>
      </c>
      <c r="D90" s="556">
        <v>0</v>
      </c>
      <c r="E90" s="556">
        <v>0</v>
      </c>
      <c r="F90" s="556">
        <f t="shared" si="3"/>
        <v>0</v>
      </c>
      <c r="G90" s="556">
        <v>0</v>
      </c>
      <c r="H90" s="556">
        <v>0</v>
      </c>
    </row>
    <row r="91" spans="1:8" s="26" customFormat="1" ht="36" x14ac:dyDescent="0.25">
      <c r="A91" s="1133"/>
      <c r="B91" s="1136"/>
      <c r="C91" s="30" t="s">
        <v>201</v>
      </c>
      <c r="D91" s="556">
        <v>0</v>
      </c>
      <c r="E91" s="556">
        <v>0</v>
      </c>
      <c r="F91" s="556">
        <f t="shared" si="3"/>
        <v>0</v>
      </c>
      <c r="G91" s="556">
        <v>0</v>
      </c>
      <c r="H91" s="556">
        <v>0</v>
      </c>
    </row>
    <row r="92" spans="1:8" s="26" customFormat="1" x14ac:dyDescent="0.25">
      <c r="A92" s="1133"/>
      <c r="B92" s="1136"/>
      <c r="C92" s="30" t="s">
        <v>202</v>
      </c>
      <c r="D92" s="556">
        <v>0</v>
      </c>
      <c r="E92" s="556">
        <v>0</v>
      </c>
      <c r="F92" s="556">
        <f t="shared" si="3"/>
        <v>0</v>
      </c>
      <c r="G92" s="556">
        <v>0</v>
      </c>
      <c r="H92" s="556">
        <v>0</v>
      </c>
    </row>
    <row r="93" spans="1:8" s="26" customFormat="1" ht="24" x14ac:dyDescent="0.25">
      <c r="A93" s="1134"/>
      <c r="B93" s="1137"/>
      <c r="C93" s="118" t="s">
        <v>203</v>
      </c>
      <c r="D93" s="556">
        <v>0</v>
      </c>
      <c r="E93" s="556">
        <v>0</v>
      </c>
      <c r="F93" s="556">
        <f t="shared" si="3"/>
        <v>0</v>
      </c>
      <c r="G93" s="556">
        <v>0</v>
      </c>
      <c r="H93" s="556">
        <v>0</v>
      </c>
    </row>
    <row r="94" spans="1:8" s="26" customFormat="1" ht="24" x14ac:dyDescent="0.25">
      <c r="A94" s="588">
        <v>74</v>
      </c>
      <c r="B94" s="71" t="s">
        <v>204</v>
      </c>
      <c r="C94" s="30" t="s">
        <v>205</v>
      </c>
      <c r="D94" s="556">
        <v>0</v>
      </c>
      <c r="E94" s="556">
        <v>0</v>
      </c>
      <c r="F94" s="556">
        <f t="shared" si="3"/>
        <v>0</v>
      </c>
      <c r="G94" s="556">
        <v>0</v>
      </c>
      <c r="H94" s="556">
        <v>0</v>
      </c>
    </row>
    <row r="95" spans="1:8" s="26" customFormat="1" x14ac:dyDescent="0.25">
      <c r="A95" s="588">
        <v>75</v>
      </c>
      <c r="B95" s="71" t="s">
        <v>206</v>
      </c>
      <c r="C95" s="30" t="s">
        <v>207</v>
      </c>
      <c r="D95" s="556">
        <v>0</v>
      </c>
      <c r="E95" s="556">
        <v>0</v>
      </c>
      <c r="F95" s="556">
        <f t="shared" si="3"/>
        <v>0</v>
      </c>
      <c r="G95" s="556">
        <v>0</v>
      </c>
      <c r="H95" s="556">
        <v>0</v>
      </c>
    </row>
    <row r="96" spans="1:8" s="26" customFormat="1" x14ac:dyDescent="0.25">
      <c r="A96" s="588">
        <v>76</v>
      </c>
      <c r="B96" s="604" t="s">
        <v>208</v>
      </c>
      <c r="C96" s="30" t="s">
        <v>209</v>
      </c>
      <c r="D96" s="556">
        <v>0</v>
      </c>
      <c r="E96" s="556">
        <v>0</v>
      </c>
      <c r="F96" s="556">
        <f t="shared" si="3"/>
        <v>0</v>
      </c>
      <c r="G96" s="556">
        <v>0</v>
      </c>
      <c r="H96" s="556">
        <v>0</v>
      </c>
    </row>
    <row r="97" spans="1:8" s="26" customFormat="1" x14ac:dyDescent="0.25">
      <c r="A97" s="588">
        <v>77</v>
      </c>
      <c r="B97" s="71" t="s">
        <v>210</v>
      </c>
      <c r="C97" s="30" t="s">
        <v>211</v>
      </c>
      <c r="D97" s="556">
        <v>0</v>
      </c>
      <c r="E97" s="556">
        <v>0</v>
      </c>
      <c r="F97" s="556">
        <f t="shared" si="3"/>
        <v>0</v>
      </c>
      <c r="G97" s="556">
        <v>0</v>
      </c>
      <c r="H97" s="556">
        <v>0</v>
      </c>
    </row>
    <row r="98" spans="1:8" s="26" customFormat="1" x14ac:dyDescent="0.25">
      <c r="A98" s="588">
        <v>78</v>
      </c>
      <c r="B98" s="604" t="s">
        <v>212</v>
      </c>
      <c r="C98" s="30" t="s">
        <v>213</v>
      </c>
      <c r="D98" s="556">
        <v>0</v>
      </c>
      <c r="E98" s="556">
        <v>0</v>
      </c>
      <c r="F98" s="556">
        <f t="shared" si="3"/>
        <v>0</v>
      </c>
      <c r="G98" s="556">
        <v>0</v>
      </c>
      <c r="H98" s="556">
        <v>0</v>
      </c>
    </row>
    <row r="99" spans="1:8" s="26" customFormat="1" x14ac:dyDescent="0.25">
      <c r="A99" s="588">
        <v>79</v>
      </c>
      <c r="B99" s="604" t="s">
        <v>214</v>
      </c>
      <c r="C99" s="30" t="s">
        <v>215</v>
      </c>
      <c r="D99" s="556">
        <v>0</v>
      </c>
      <c r="E99" s="556">
        <v>0</v>
      </c>
      <c r="F99" s="556">
        <f t="shared" si="3"/>
        <v>0</v>
      </c>
      <c r="G99" s="556">
        <v>0</v>
      </c>
      <c r="H99" s="556">
        <v>0</v>
      </c>
    </row>
    <row r="100" spans="1:8" s="26" customFormat="1" x14ac:dyDescent="0.25">
      <c r="A100" s="588">
        <v>80</v>
      </c>
      <c r="B100" s="71" t="s">
        <v>216</v>
      </c>
      <c r="C100" s="30" t="s">
        <v>217</v>
      </c>
      <c r="D100" s="556">
        <v>0</v>
      </c>
      <c r="E100" s="556">
        <v>0</v>
      </c>
      <c r="F100" s="556">
        <f t="shared" si="3"/>
        <v>0</v>
      </c>
      <c r="G100" s="556">
        <v>0</v>
      </c>
      <c r="H100" s="556">
        <v>0</v>
      </c>
    </row>
    <row r="101" spans="1:8" s="26" customFormat="1" x14ac:dyDescent="0.25">
      <c r="A101" s="588">
        <v>81</v>
      </c>
      <c r="B101" s="70" t="s">
        <v>218</v>
      </c>
      <c r="C101" s="30" t="s">
        <v>219</v>
      </c>
      <c r="D101" s="556">
        <v>0</v>
      </c>
      <c r="E101" s="556">
        <v>0</v>
      </c>
      <c r="F101" s="556">
        <f t="shared" si="3"/>
        <v>0</v>
      </c>
      <c r="G101" s="556">
        <v>0</v>
      </c>
      <c r="H101" s="556">
        <v>0</v>
      </c>
    </row>
    <row r="102" spans="1:8" s="26" customFormat="1" x14ac:dyDescent="0.25">
      <c r="A102" s="588">
        <v>82</v>
      </c>
      <c r="B102" s="70" t="s">
        <v>220</v>
      </c>
      <c r="C102" s="30" t="s">
        <v>221</v>
      </c>
      <c r="D102" s="556">
        <v>0</v>
      </c>
      <c r="E102" s="556">
        <v>0</v>
      </c>
      <c r="F102" s="556">
        <f t="shared" si="3"/>
        <v>0</v>
      </c>
      <c r="G102" s="556">
        <v>0</v>
      </c>
      <c r="H102" s="556">
        <v>0</v>
      </c>
    </row>
    <row r="103" spans="1:8" s="26" customFormat="1" x14ac:dyDescent="0.25">
      <c r="A103" s="588">
        <v>83</v>
      </c>
      <c r="B103" s="604" t="s">
        <v>222</v>
      </c>
      <c r="C103" s="30" t="s">
        <v>223</v>
      </c>
      <c r="D103" s="556">
        <v>0</v>
      </c>
      <c r="E103" s="556">
        <v>0</v>
      </c>
      <c r="F103" s="556">
        <f t="shared" si="3"/>
        <v>0</v>
      </c>
      <c r="G103" s="556">
        <v>0</v>
      </c>
      <c r="H103" s="556">
        <v>0</v>
      </c>
    </row>
    <row r="104" spans="1:8" s="26" customFormat="1" x14ac:dyDescent="0.25">
      <c r="A104" s="588">
        <v>84</v>
      </c>
      <c r="B104" s="70" t="s">
        <v>224</v>
      </c>
      <c r="C104" s="30" t="s">
        <v>225</v>
      </c>
      <c r="D104" s="556">
        <v>0</v>
      </c>
      <c r="E104" s="556">
        <v>0</v>
      </c>
      <c r="F104" s="556">
        <f t="shared" si="3"/>
        <v>0</v>
      </c>
      <c r="G104" s="556">
        <v>0</v>
      </c>
      <c r="H104" s="556">
        <v>0</v>
      </c>
    </row>
    <row r="105" spans="1:8" s="26" customFormat="1" x14ac:dyDescent="0.25">
      <c r="A105" s="588">
        <v>85</v>
      </c>
      <c r="B105" s="70" t="s">
        <v>226</v>
      </c>
      <c r="C105" s="30" t="s">
        <v>227</v>
      </c>
      <c r="D105" s="556">
        <v>0</v>
      </c>
      <c r="E105" s="556">
        <v>0</v>
      </c>
      <c r="F105" s="556">
        <f t="shared" si="3"/>
        <v>0</v>
      </c>
      <c r="G105" s="556">
        <v>0</v>
      </c>
      <c r="H105" s="556">
        <v>0</v>
      </c>
    </row>
    <row r="106" spans="1:8" s="26" customFormat="1" x14ac:dyDescent="0.25">
      <c r="A106" s="588">
        <v>86</v>
      </c>
      <c r="B106" s="71" t="s">
        <v>32</v>
      </c>
      <c r="C106" s="30" t="s">
        <v>33</v>
      </c>
      <c r="D106" s="556">
        <v>0</v>
      </c>
      <c r="E106" s="556">
        <v>0</v>
      </c>
      <c r="F106" s="556">
        <f t="shared" si="3"/>
        <v>0</v>
      </c>
      <c r="G106" s="556">
        <v>0</v>
      </c>
      <c r="H106" s="556">
        <v>0</v>
      </c>
    </row>
    <row r="107" spans="1:8" s="148" customFormat="1" x14ac:dyDescent="0.25">
      <c r="A107" s="588">
        <v>87</v>
      </c>
      <c r="B107" s="604" t="s">
        <v>228</v>
      </c>
      <c r="C107" s="30" t="s">
        <v>229</v>
      </c>
      <c r="D107" s="556">
        <v>0</v>
      </c>
      <c r="E107" s="556">
        <v>0</v>
      </c>
      <c r="F107" s="556">
        <f t="shared" si="3"/>
        <v>0</v>
      </c>
      <c r="G107" s="556">
        <v>0</v>
      </c>
      <c r="H107" s="556">
        <v>0</v>
      </c>
    </row>
    <row r="108" spans="1:8" s="26" customFormat="1" x14ac:dyDescent="0.25">
      <c r="A108" s="588">
        <v>88</v>
      </c>
      <c r="B108" s="70" t="s">
        <v>230</v>
      </c>
      <c r="C108" s="30" t="s">
        <v>231</v>
      </c>
      <c r="D108" s="556">
        <v>0</v>
      </c>
      <c r="E108" s="556">
        <v>0</v>
      </c>
      <c r="F108" s="556">
        <f t="shared" si="3"/>
        <v>0</v>
      </c>
      <c r="G108" s="556">
        <v>0</v>
      </c>
      <c r="H108" s="556">
        <v>0</v>
      </c>
    </row>
    <row r="109" spans="1:8" s="26" customFormat="1" x14ac:dyDescent="0.25">
      <c r="A109" s="588">
        <v>89</v>
      </c>
      <c r="B109" s="70" t="s">
        <v>232</v>
      </c>
      <c r="C109" s="30" t="s">
        <v>233</v>
      </c>
      <c r="D109" s="556">
        <v>0</v>
      </c>
      <c r="E109" s="556">
        <v>0</v>
      </c>
      <c r="F109" s="556">
        <f t="shared" si="3"/>
        <v>0</v>
      </c>
      <c r="G109" s="556">
        <v>0</v>
      </c>
      <c r="H109" s="556">
        <v>0</v>
      </c>
    </row>
    <row r="110" spans="1:8" s="26" customFormat="1" x14ac:dyDescent="0.25">
      <c r="A110" s="588">
        <v>90</v>
      </c>
      <c r="B110" s="70" t="s">
        <v>234</v>
      </c>
      <c r="C110" s="30" t="s">
        <v>235</v>
      </c>
      <c r="D110" s="556">
        <v>0</v>
      </c>
      <c r="E110" s="556">
        <v>0</v>
      </c>
      <c r="F110" s="556">
        <f t="shared" si="3"/>
        <v>0</v>
      </c>
      <c r="G110" s="556">
        <v>0</v>
      </c>
      <c r="H110" s="556">
        <v>0</v>
      </c>
    </row>
    <row r="111" spans="1:8" s="26" customFormat="1" x14ac:dyDescent="0.25">
      <c r="A111" s="588">
        <v>91</v>
      </c>
      <c r="B111" s="604" t="s">
        <v>236</v>
      </c>
      <c r="C111" s="30" t="s">
        <v>237</v>
      </c>
      <c r="D111" s="556">
        <v>0</v>
      </c>
      <c r="E111" s="556">
        <v>0</v>
      </c>
      <c r="F111" s="556">
        <f t="shared" si="3"/>
        <v>0</v>
      </c>
      <c r="G111" s="556">
        <v>0</v>
      </c>
      <c r="H111" s="556">
        <v>0</v>
      </c>
    </row>
    <row r="112" spans="1:8" s="26" customFormat="1" x14ac:dyDescent="0.25">
      <c r="A112" s="588">
        <v>92</v>
      </c>
      <c r="B112" s="604" t="s">
        <v>238</v>
      </c>
      <c r="C112" s="30" t="s">
        <v>239</v>
      </c>
      <c r="D112" s="556">
        <v>0</v>
      </c>
      <c r="E112" s="556">
        <v>0</v>
      </c>
      <c r="F112" s="556">
        <f t="shared" si="3"/>
        <v>0</v>
      </c>
      <c r="G112" s="556">
        <v>0</v>
      </c>
      <c r="H112" s="556">
        <v>0</v>
      </c>
    </row>
    <row r="113" spans="1:8" s="26" customFormat="1" x14ac:dyDescent="0.25">
      <c r="A113" s="588">
        <v>93</v>
      </c>
      <c r="B113" s="604" t="s">
        <v>240</v>
      </c>
      <c r="C113" s="30" t="s">
        <v>241</v>
      </c>
      <c r="D113" s="556">
        <v>0</v>
      </c>
      <c r="E113" s="556">
        <v>0</v>
      </c>
      <c r="F113" s="556">
        <f t="shared" si="3"/>
        <v>0</v>
      </c>
      <c r="G113" s="556">
        <v>0</v>
      </c>
      <c r="H113" s="556">
        <v>0</v>
      </c>
    </row>
    <row r="114" spans="1:8" s="26" customFormat="1" x14ac:dyDescent="0.25">
      <c r="A114" s="588">
        <v>94</v>
      </c>
      <c r="B114" s="604" t="s">
        <v>242</v>
      </c>
      <c r="C114" s="30" t="s">
        <v>243</v>
      </c>
      <c r="D114" s="556">
        <v>0</v>
      </c>
      <c r="E114" s="556">
        <v>0</v>
      </c>
      <c r="F114" s="556">
        <f t="shared" si="3"/>
        <v>0</v>
      </c>
      <c r="G114" s="556">
        <v>0</v>
      </c>
      <c r="H114" s="556">
        <v>0</v>
      </c>
    </row>
    <row r="115" spans="1:8" s="26" customFormat="1" x14ac:dyDescent="0.25">
      <c r="A115" s="588">
        <v>95</v>
      </c>
      <c r="B115" s="604" t="s">
        <v>244</v>
      </c>
      <c r="C115" s="30" t="s">
        <v>245</v>
      </c>
      <c r="D115" s="556">
        <v>0</v>
      </c>
      <c r="E115" s="556">
        <v>0</v>
      </c>
      <c r="F115" s="556">
        <f t="shared" si="3"/>
        <v>0</v>
      </c>
      <c r="G115" s="556">
        <v>0</v>
      </c>
      <c r="H115" s="556">
        <v>0</v>
      </c>
    </row>
    <row r="116" spans="1:8" s="26" customFormat="1" x14ac:dyDescent="0.25">
      <c r="A116" s="588">
        <v>96</v>
      </c>
      <c r="B116" s="591" t="s">
        <v>246</v>
      </c>
      <c r="C116" s="590" t="s">
        <v>247</v>
      </c>
      <c r="D116" s="556">
        <v>0</v>
      </c>
      <c r="E116" s="556">
        <v>0</v>
      </c>
      <c r="F116" s="556">
        <f t="shared" si="3"/>
        <v>0</v>
      </c>
      <c r="G116" s="556">
        <v>0</v>
      </c>
      <c r="H116" s="556">
        <v>0</v>
      </c>
    </row>
    <row r="117" spans="1:8" s="26" customFormat="1" x14ac:dyDescent="0.25">
      <c r="A117" s="588">
        <v>97</v>
      </c>
      <c r="B117" s="71" t="s">
        <v>248</v>
      </c>
      <c r="C117" s="30" t="s">
        <v>249</v>
      </c>
      <c r="D117" s="556">
        <v>0</v>
      </c>
      <c r="E117" s="556">
        <v>0</v>
      </c>
      <c r="F117" s="556">
        <f t="shared" si="3"/>
        <v>0</v>
      </c>
      <c r="G117" s="556">
        <v>0</v>
      </c>
      <c r="H117" s="556">
        <v>0</v>
      </c>
    </row>
    <row r="118" spans="1:8" s="26" customFormat="1" x14ac:dyDescent="0.25">
      <c r="A118" s="588">
        <v>98</v>
      </c>
      <c r="B118" s="604" t="s">
        <v>250</v>
      </c>
      <c r="C118" s="30" t="s">
        <v>251</v>
      </c>
      <c r="D118" s="556">
        <v>0</v>
      </c>
      <c r="E118" s="556">
        <v>0</v>
      </c>
      <c r="F118" s="556">
        <f t="shared" si="3"/>
        <v>0</v>
      </c>
      <c r="G118" s="556">
        <v>0</v>
      </c>
      <c r="H118" s="556">
        <v>0</v>
      </c>
    </row>
    <row r="119" spans="1:8" s="26" customFormat="1" x14ac:dyDescent="0.25">
      <c r="A119" s="588">
        <v>99</v>
      </c>
      <c r="B119" s="70" t="s">
        <v>252</v>
      </c>
      <c r="C119" s="119" t="s">
        <v>253</v>
      </c>
      <c r="D119" s="556">
        <v>0</v>
      </c>
      <c r="E119" s="556">
        <v>0</v>
      </c>
      <c r="F119" s="556">
        <f t="shared" si="3"/>
        <v>0</v>
      </c>
      <c r="G119" s="556">
        <v>0</v>
      </c>
      <c r="H119" s="556">
        <v>0</v>
      </c>
    </row>
    <row r="120" spans="1:8" s="26" customFormat="1" x14ac:dyDescent="0.25">
      <c r="A120" s="588">
        <v>100</v>
      </c>
      <c r="B120" s="604" t="s">
        <v>254</v>
      </c>
      <c r="C120" s="30" t="s">
        <v>255</v>
      </c>
      <c r="D120" s="556">
        <v>0</v>
      </c>
      <c r="E120" s="556">
        <v>0</v>
      </c>
      <c r="F120" s="556">
        <f t="shared" si="3"/>
        <v>0</v>
      </c>
      <c r="G120" s="556">
        <v>0</v>
      </c>
      <c r="H120" s="556">
        <v>0</v>
      </c>
    </row>
    <row r="121" spans="1:8" s="26" customFormat="1" x14ac:dyDescent="0.25">
      <c r="A121" s="588">
        <v>101</v>
      </c>
      <c r="B121" s="71" t="s">
        <v>256</v>
      </c>
      <c r="C121" s="30" t="s">
        <v>257</v>
      </c>
      <c r="D121" s="556">
        <v>0</v>
      </c>
      <c r="E121" s="556">
        <v>0</v>
      </c>
      <c r="F121" s="556">
        <f t="shared" si="3"/>
        <v>0</v>
      </c>
      <c r="G121" s="556">
        <v>0</v>
      </c>
      <c r="H121" s="556">
        <v>0</v>
      </c>
    </row>
    <row r="122" spans="1:8" s="26" customFormat="1" x14ac:dyDescent="0.25">
      <c r="A122" s="588">
        <v>102</v>
      </c>
      <c r="B122" s="70" t="s">
        <v>258</v>
      </c>
      <c r="C122" s="30" t="s">
        <v>259</v>
      </c>
      <c r="D122" s="556">
        <v>0</v>
      </c>
      <c r="E122" s="556">
        <v>0</v>
      </c>
      <c r="F122" s="556">
        <f t="shared" si="3"/>
        <v>0</v>
      </c>
      <c r="G122" s="556">
        <v>0</v>
      </c>
      <c r="H122" s="556">
        <v>0</v>
      </c>
    </row>
    <row r="123" spans="1:8" s="26" customFormat="1" x14ac:dyDescent="0.25">
      <c r="A123" s="588">
        <v>103</v>
      </c>
      <c r="B123" s="592" t="s">
        <v>542</v>
      </c>
      <c r="C123" s="590" t="s">
        <v>543</v>
      </c>
      <c r="D123" s="556">
        <v>0</v>
      </c>
      <c r="E123" s="556">
        <v>0</v>
      </c>
      <c r="F123" s="556">
        <f t="shared" si="3"/>
        <v>0</v>
      </c>
      <c r="G123" s="556">
        <v>0</v>
      </c>
      <c r="H123" s="556">
        <v>0</v>
      </c>
    </row>
    <row r="124" spans="1:8" s="26" customFormat="1" x14ac:dyDescent="0.25">
      <c r="A124" s="588">
        <v>104</v>
      </c>
      <c r="B124" s="71" t="s">
        <v>260</v>
      </c>
      <c r="C124" s="30" t="s">
        <v>261</v>
      </c>
      <c r="D124" s="556">
        <v>0</v>
      </c>
      <c r="E124" s="556">
        <v>0</v>
      </c>
      <c r="F124" s="556">
        <f t="shared" si="3"/>
        <v>0</v>
      </c>
      <c r="G124" s="556">
        <v>0</v>
      </c>
      <c r="H124" s="556">
        <v>0</v>
      </c>
    </row>
    <row r="125" spans="1:8" s="26" customFormat="1" x14ac:dyDescent="0.25">
      <c r="A125" s="588">
        <v>105</v>
      </c>
      <c r="B125" s="604" t="s">
        <v>262</v>
      </c>
      <c r="C125" s="30" t="s">
        <v>263</v>
      </c>
      <c r="D125" s="556">
        <v>0</v>
      </c>
      <c r="E125" s="556">
        <v>0</v>
      </c>
      <c r="F125" s="556">
        <f t="shared" si="3"/>
        <v>0</v>
      </c>
      <c r="G125" s="556">
        <v>0</v>
      </c>
      <c r="H125" s="556">
        <v>0</v>
      </c>
    </row>
    <row r="126" spans="1:8" s="26" customFormat="1" x14ac:dyDescent="0.25">
      <c r="A126" s="588">
        <v>106</v>
      </c>
      <c r="B126" s="604" t="s">
        <v>264</v>
      </c>
      <c r="C126" s="120" t="s">
        <v>265</v>
      </c>
      <c r="D126" s="556">
        <v>0</v>
      </c>
      <c r="E126" s="556">
        <v>0</v>
      </c>
      <c r="F126" s="556">
        <f t="shared" si="3"/>
        <v>0</v>
      </c>
      <c r="G126" s="556">
        <v>0</v>
      </c>
      <c r="H126" s="556">
        <v>0</v>
      </c>
    </row>
    <row r="127" spans="1:8" s="26" customFormat="1" x14ac:dyDescent="0.25">
      <c r="A127" s="588">
        <v>107</v>
      </c>
      <c r="B127" s="604" t="s">
        <v>266</v>
      </c>
      <c r="C127" s="30" t="s">
        <v>267</v>
      </c>
      <c r="D127" s="556">
        <v>0</v>
      </c>
      <c r="E127" s="556">
        <v>300</v>
      </c>
      <c r="F127" s="556">
        <f t="shared" si="3"/>
        <v>0</v>
      </c>
      <c r="G127" s="556">
        <v>0</v>
      </c>
      <c r="H127" s="556">
        <v>0</v>
      </c>
    </row>
    <row r="128" spans="1:8" s="26" customFormat="1" x14ac:dyDescent="0.25">
      <c r="A128" s="588">
        <v>108</v>
      </c>
      <c r="B128" s="604" t="s">
        <v>268</v>
      </c>
      <c r="C128" s="30" t="s">
        <v>269</v>
      </c>
      <c r="D128" s="556">
        <v>0</v>
      </c>
      <c r="E128" s="556">
        <v>0</v>
      </c>
      <c r="F128" s="556">
        <f t="shared" si="3"/>
        <v>0</v>
      </c>
      <c r="G128" s="556">
        <v>0</v>
      </c>
      <c r="H128" s="556">
        <v>0</v>
      </c>
    </row>
    <row r="129" spans="1:8" s="26" customFormat="1" x14ac:dyDescent="0.25">
      <c r="A129" s="588">
        <v>109</v>
      </c>
      <c r="B129" s="604" t="s">
        <v>270</v>
      </c>
      <c r="C129" s="30" t="s">
        <v>271</v>
      </c>
      <c r="D129" s="556">
        <v>0</v>
      </c>
      <c r="E129" s="556">
        <v>0</v>
      </c>
      <c r="F129" s="556">
        <f t="shared" si="3"/>
        <v>0</v>
      </c>
      <c r="G129" s="556">
        <v>0</v>
      </c>
      <c r="H129" s="556">
        <v>0</v>
      </c>
    </row>
    <row r="130" spans="1:8" s="26" customFormat="1" x14ac:dyDescent="0.25">
      <c r="A130" s="588">
        <v>110</v>
      </c>
      <c r="B130" s="70" t="s">
        <v>272</v>
      </c>
      <c r="C130" s="30" t="s">
        <v>273</v>
      </c>
      <c r="D130" s="556">
        <v>0</v>
      </c>
      <c r="E130" s="556">
        <v>0</v>
      </c>
      <c r="F130" s="556">
        <f t="shared" si="3"/>
        <v>0</v>
      </c>
      <c r="G130" s="556">
        <v>0</v>
      </c>
      <c r="H130" s="556">
        <v>0</v>
      </c>
    </row>
    <row r="131" spans="1:8" x14ac:dyDescent="0.25">
      <c r="A131" s="588">
        <v>111</v>
      </c>
      <c r="B131" s="70" t="s">
        <v>274</v>
      </c>
      <c r="C131" s="30" t="s">
        <v>275</v>
      </c>
      <c r="D131" s="556">
        <v>0</v>
      </c>
      <c r="E131" s="556">
        <v>0</v>
      </c>
      <c r="F131" s="556">
        <f t="shared" si="3"/>
        <v>0</v>
      </c>
      <c r="G131" s="556">
        <v>0</v>
      </c>
      <c r="H131" s="556">
        <v>0</v>
      </c>
    </row>
    <row r="132" spans="1:8" s="26" customFormat="1" x14ac:dyDescent="0.25">
      <c r="A132" s="588">
        <v>112</v>
      </c>
      <c r="B132" s="70" t="s">
        <v>276</v>
      </c>
      <c r="C132" s="30" t="s">
        <v>277</v>
      </c>
      <c r="D132" s="556">
        <v>0</v>
      </c>
      <c r="E132" s="556">
        <v>0</v>
      </c>
      <c r="F132" s="556">
        <f t="shared" si="3"/>
        <v>0</v>
      </c>
      <c r="G132" s="556">
        <v>0</v>
      </c>
      <c r="H132" s="556">
        <v>0</v>
      </c>
    </row>
    <row r="133" spans="1:8" s="26" customFormat="1" x14ac:dyDescent="0.25">
      <c r="A133" s="588">
        <v>113</v>
      </c>
      <c r="B133" s="604" t="s">
        <v>278</v>
      </c>
      <c r="C133" s="30" t="s">
        <v>279</v>
      </c>
      <c r="D133" s="556">
        <v>2482</v>
      </c>
      <c r="E133" s="556">
        <v>0</v>
      </c>
      <c r="F133" s="556">
        <f t="shared" si="3"/>
        <v>0</v>
      </c>
      <c r="G133" s="556">
        <v>0</v>
      </c>
      <c r="H133" s="556">
        <v>0</v>
      </c>
    </row>
    <row r="134" spans="1:8" s="26" customFormat="1" x14ac:dyDescent="0.25">
      <c r="A134" s="588">
        <v>114</v>
      </c>
      <c r="B134" s="604" t="s">
        <v>280</v>
      </c>
      <c r="C134" s="30" t="s">
        <v>281</v>
      </c>
      <c r="D134" s="556">
        <v>0</v>
      </c>
      <c r="E134" s="556">
        <v>0</v>
      </c>
      <c r="F134" s="556">
        <f t="shared" si="3"/>
        <v>0</v>
      </c>
      <c r="G134" s="556">
        <v>0</v>
      </c>
      <c r="H134" s="556">
        <v>0</v>
      </c>
    </row>
    <row r="135" spans="1:8" s="26" customFormat="1" x14ac:dyDescent="0.25">
      <c r="A135" s="588">
        <v>115</v>
      </c>
      <c r="B135" s="604" t="s">
        <v>282</v>
      </c>
      <c r="C135" s="30" t="s">
        <v>768</v>
      </c>
      <c r="D135" s="556">
        <v>0</v>
      </c>
      <c r="E135" s="556">
        <v>0</v>
      </c>
      <c r="F135" s="556">
        <f t="shared" si="3"/>
        <v>0</v>
      </c>
      <c r="G135" s="556">
        <v>0</v>
      </c>
      <c r="H135" s="556">
        <v>0</v>
      </c>
    </row>
    <row r="136" spans="1:8" s="26" customFormat="1" x14ac:dyDescent="0.25">
      <c r="A136" s="588">
        <v>116</v>
      </c>
      <c r="B136" s="70" t="s">
        <v>283</v>
      </c>
      <c r="C136" s="30" t="s">
        <v>284</v>
      </c>
      <c r="D136" s="556">
        <v>0</v>
      </c>
      <c r="E136" s="556">
        <v>0</v>
      </c>
      <c r="F136" s="556">
        <f t="shared" si="3"/>
        <v>0</v>
      </c>
      <c r="G136" s="556">
        <v>0</v>
      </c>
      <c r="H136" s="556">
        <v>0</v>
      </c>
    </row>
    <row r="137" spans="1:8" s="26" customFormat="1" x14ac:dyDescent="0.25">
      <c r="A137" s="588">
        <v>117</v>
      </c>
      <c r="B137" s="71" t="s">
        <v>285</v>
      </c>
      <c r="C137" s="30" t="s">
        <v>726</v>
      </c>
      <c r="D137" s="556">
        <v>0</v>
      </c>
      <c r="E137" s="556">
        <v>0</v>
      </c>
      <c r="F137" s="556">
        <f t="shared" si="3"/>
        <v>0</v>
      </c>
      <c r="G137" s="556">
        <v>0</v>
      </c>
      <c r="H137" s="556">
        <v>0</v>
      </c>
    </row>
    <row r="138" spans="1:8" s="26" customFormat="1" x14ac:dyDescent="0.25">
      <c r="A138" s="588">
        <v>118</v>
      </c>
      <c r="B138" s="604" t="s">
        <v>286</v>
      </c>
      <c r="C138" s="30" t="s">
        <v>287</v>
      </c>
      <c r="D138" s="556">
        <v>0</v>
      </c>
      <c r="E138" s="556">
        <v>2500</v>
      </c>
      <c r="F138" s="556">
        <f t="shared" si="3"/>
        <v>750</v>
      </c>
      <c r="G138" s="556">
        <v>750</v>
      </c>
      <c r="H138" s="556">
        <v>0</v>
      </c>
    </row>
    <row r="139" spans="1:8" s="26" customFormat="1" x14ac:dyDescent="0.25">
      <c r="A139" s="588">
        <v>119</v>
      </c>
      <c r="B139" s="70" t="s">
        <v>288</v>
      </c>
      <c r="C139" s="30" t="s">
        <v>289</v>
      </c>
      <c r="D139" s="556">
        <v>0</v>
      </c>
      <c r="E139" s="556">
        <v>0</v>
      </c>
      <c r="F139" s="556">
        <f t="shared" ref="F139:F147" si="4">G139+H139</f>
        <v>0</v>
      </c>
      <c r="G139" s="556">
        <v>0</v>
      </c>
      <c r="H139" s="556">
        <v>0</v>
      </c>
    </row>
    <row r="140" spans="1:8" s="26" customFormat="1" x14ac:dyDescent="0.25">
      <c r="A140" s="588">
        <v>120</v>
      </c>
      <c r="B140" s="604" t="s">
        <v>290</v>
      </c>
      <c r="C140" s="30" t="s">
        <v>291</v>
      </c>
      <c r="D140" s="556">
        <v>0</v>
      </c>
      <c r="E140" s="556">
        <v>0</v>
      </c>
      <c r="F140" s="556">
        <f t="shared" si="4"/>
        <v>0</v>
      </c>
      <c r="G140" s="556">
        <v>0</v>
      </c>
      <c r="H140" s="556">
        <v>0</v>
      </c>
    </row>
    <row r="141" spans="1:8" x14ac:dyDescent="0.25">
      <c r="A141" s="588">
        <v>121</v>
      </c>
      <c r="B141" s="138" t="s">
        <v>292</v>
      </c>
      <c r="C141" s="593" t="s">
        <v>293</v>
      </c>
      <c r="D141" s="556">
        <v>0</v>
      </c>
      <c r="E141" s="556">
        <v>0</v>
      </c>
      <c r="F141" s="556">
        <f t="shared" si="4"/>
        <v>0</v>
      </c>
      <c r="G141" s="556">
        <v>0</v>
      </c>
      <c r="H141" s="556">
        <v>0</v>
      </c>
    </row>
    <row r="142" spans="1:8" x14ac:dyDescent="0.25">
      <c r="A142" s="588">
        <v>122</v>
      </c>
      <c r="B142" s="140" t="s">
        <v>294</v>
      </c>
      <c r="C142" s="594" t="s">
        <v>295</v>
      </c>
      <c r="D142" s="556">
        <v>0</v>
      </c>
      <c r="E142" s="556">
        <v>0</v>
      </c>
      <c r="F142" s="556">
        <f t="shared" si="4"/>
        <v>0</v>
      </c>
      <c r="G142" s="556">
        <v>0</v>
      </c>
      <c r="H142" s="556">
        <v>0</v>
      </c>
    </row>
    <row r="143" spans="1:8" x14ac:dyDescent="0.2">
      <c r="A143" s="588">
        <v>123</v>
      </c>
      <c r="B143" s="595" t="s">
        <v>296</v>
      </c>
      <c r="C143" s="596" t="s">
        <v>460</v>
      </c>
      <c r="D143" s="556">
        <v>0</v>
      </c>
      <c r="E143" s="556">
        <v>0</v>
      </c>
      <c r="F143" s="556">
        <f t="shared" si="4"/>
        <v>0</v>
      </c>
      <c r="G143" s="556">
        <v>0</v>
      </c>
      <c r="H143" s="556">
        <v>0</v>
      </c>
    </row>
    <row r="144" spans="1:8" x14ac:dyDescent="0.25">
      <c r="A144" s="588">
        <v>124</v>
      </c>
      <c r="B144" s="588" t="s">
        <v>298</v>
      </c>
      <c r="C144" s="597" t="s">
        <v>299</v>
      </c>
      <c r="D144" s="556">
        <v>0</v>
      </c>
      <c r="E144" s="556">
        <v>0</v>
      </c>
      <c r="F144" s="556">
        <f t="shared" si="4"/>
        <v>0</v>
      </c>
      <c r="G144" s="556">
        <v>0</v>
      </c>
      <c r="H144" s="556">
        <v>0</v>
      </c>
    </row>
    <row r="145" spans="1:8" x14ac:dyDescent="0.25">
      <c r="A145" s="588">
        <v>125</v>
      </c>
      <c r="B145" s="592" t="s">
        <v>300</v>
      </c>
      <c r="C145" s="597" t="s">
        <v>301</v>
      </c>
      <c r="D145" s="556">
        <v>0</v>
      </c>
      <c r="E145" s="556">
        <v>0</v>
      </c>
      <c r="F145" s="556">
        <f t="shared" si="4"/>
        <v>0</v>
      </c>
      <c r="G145" s="556">
        <v>0</v>
      </c>
      <c r="H145" s="556">
        <v>0</v>
      </c>
    </row>
    <row r="146" spans="1:8" x14ac:dyDescent="0.25">
      <c r="A146" s="588">
        <v>126</v>
      </c>
      <c r="B146" s="592" t="s">
        <v>302</v>
      </c>
      <c r="C146" s="597" t="s">
        <v>303</v>
      </c>
      <c r="D146" s="556">
        <v>0</v>
      </c>
      <c r="E146" s="556">
        <v>0</v>
      </c>
      <c r="F146" s="556">
        <f t="shared" si="4"/>
        <v>0</v>
      </c>
      <c r="G146" s="556">
        <v>0</v>
      </c>
      <c r="H146" s="556">
        <v>0</v>
      </c>
    </row>
    <row r="147" spans="1:8" x14ac:dyDescent="0.25">
      <c r="A147" s="145">
        <v>127</v>
      </c>
      <c r="B147" s="155" t="s">
        <v>304</v>
      </c>
      <c r="C147" s="150" t="s">
        <v>305</v>
      </c>
      <c r="D147" s="146">
        <v>0</v>
      </c>
      <c r="E147" s="146">
        <v>0</v>
      </c>
      <c r="F147" s="146">
        <f t="shared" si="4"/>
        <v>0</v>
      </c>
      <c r="G147" s="146">
        <v>0</v>
      </c>
      <c r="H147" s="146">
        <v>0</v>
      </c>
    </row>
    <row r="150" spans="1:8" s="31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1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6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zoomScaleNormal="100" workbookViewId="0">
      <pane xSplit="3" ySplit="11" topLeftCell="D142" activePane="bottomRight" state="frozen"/>
      <selection activeCell="L21" sqref="L21"/>
      <selection pane="topRight" activeCell="L21" sqref="L21"/>
      <selection pane="bottomLeft" activeCell="L21" sqref="L21"/>
      <selection pane="bottomRight" activeCell="M15" sqref="M15"/>
    </sheetView>
  </sheetViews>
  <sheetFormatPr defaultRowHeight="12" x14ac:dyDescent="0.25"/>
  <cols>
    <col min="1" max="1" width="4.7109375" style="554" customWidth="1"/>
    <col min="2" max="2" width="9.28515625" style="554" customWidth="1"/>
    <col min="3" max="3" width="49.42578125" style="2" customWidth="1"/>
    <col min="4" max="4" width="9.42578125" style="2" customWidth="1"/>
    <col min="5" max="5" width="9.28515625" style="2" customWidth="1"/>
    <col min="6" max="6" width="27.28515625" style="2" customWidth="1"/>
    <col min="7" max="7" width="22.5703125" style="2" customWidth="1"/>
    <col min="8" max="9" width="13.140625" style="2" customWidth="1"/>
    <col min="10" max="10" width="8.28515625" style="2" customWidth="1"/>
    <col min="11" max="11" width="9.5703125" style="26" customWidth="1"/>
    <col min="12" max="12" width="10.7109375" style="26" customWidth="1"/>
    <col min="13" max="13" width="12.7109375" style="26" customWidth="1"/>
    <col min="14" max="14" width="8" style="26" bestFit="1" customWidth="1"/>
    <col min="15" max="16384" width="9.140625" style="26"/>
  </cols>
  <sheetData>
    <row r="1" spans="1:16" x14ac:dyDescent="0.25">
      <c r="A1" s="1118" t="s">
        <v>762</v>
      </c>
      <c r="B1" s="1118"/>
      <c r="C1" s="1118"/>
      <c r="D1" s="1118"/>
      <c r="E1" s="1118"/>
      <c r="F1" s="1118"/>
      <c r="G1" s="1118"/>
      <c r="H1" s="1118"/>
      <c r="I1" s="1118"/>
      <c r="J1" s="1118"/>
      <c r="K1" s="1118"/>
      <c r="L1" s="1118"/>
      <c r="M1" s="1118"/>
    </row>
    <row r="2" spans="1:16" x14ac:dyDescent="0.25">
      <c r="A2" s="1118"/>
      <c r="B2" s="1118"/>
      <c r="C2" s="1118"/>
      <c r="D2" s="1118"/>
      <c r="E2" s="1118"/>
      <c r="F2" s="1118"/>
      <c r="G2" s="1118"/>
      <c r="H2" s="1118"/>
      <c r="I2" s="1118"/>
      <c r="J2" s="1118"/>
      <c r="K2" s="1118"/>
      <c r="L2" s="1118"/>
      <c r="M2" s="1118"/>
    </row>
    <row r="3" spans="1:16" x14ac:dyDescent="0.25">
      <c r="A3" s="1154"/>
      <c r="B3" s="1154"/>
      <c r="C3" s="1154"/>
      <c r="D3" s="1154"/>
      <c r="E3" s="1154"/>
      <c r="F3" s="1154"/>
      <c r="G3" s="1154"/>
      <c r="H3" s="1154"/>
      <c r="I3" s="1154"/>
      <c r="J3" s="1154"/>
      <c r="K3" s="1154"/>
      <c r="L3" s="1154"/>
      <c r="M3" s="1154"/>
    </row>
    <row r="4" spans="1:16" x14ac:dyDescent="0.25">
      <c r="A4" s="877" t="s">
        <v>0</v>
      </c>
      <c r="B4" s="877" t="s">
        <v>1</v>
      </c>
      <c r="C4" s="877" t="s">
        <v>2</v>
      </c>
      <c r="D4" s="877" t="s">
        <v>413</v>
      </c>
      <c r="E4" s="1155" t="s">
        <v>6</v>
      </c>
      <c r="F4" s="1156"/>
      <c r="G4" s="1156"/>
      <c r="H4" s="1156"/>
      <c r="I4" s="1156"/>
      <c r="J4" s="1156"/>
      <c r="K4" s="1156"/>
      <c r="L4" s="1156"/>
      <c r="M4" s="1157"/>
    </row>
    <row r="5" spans="1:16" s="19" customFormat="1" x14ac:dyDescent="0.25">
      <c r="A5" s="877"/>
      <c r="B5" s="877"/>
      <c r="C5" s="877"/>
      <c r="D5" s="877"/>
      <c r="E5" s="1158" t="s">
        <v>530</v>
      </c>
      <c r="F5" s="1158"/>
      <c r="G5" s="1158"/>
      <c r="H5" s="1158"/>
      <c r="I5" s="1159"/>
      <c r="J5" s="1153" t="s">
        <v>531</v>
      </c>
      <c r="K5" s="1153"/>
      <c r="L5" s="1153"/>
      <c r="M5" s="1153"/>
    </row>
    <row r="6" spans="1:16" s="19" customFormat="1" ht="24" customHeight="1" x14ac:dyDescent="0.25">
      <c r="A6" s="877"/>
      <c r="B6" s="877"/>
      <c r="C6" s="877"/>
      <c r="D6" s="877"/>
      <c r="E6" s="1160" t="s">
        <v>46</v>
      </c>
      <c r="F6" s="550" t="s">
        <v>738</v>
      </c>
      <c r="G6" s="550" t="s">
        <v>739</v>
      </c>
      <c r="H6" s="1162" t="s">
        <v>769</v>
      </c>
      <c r="I6" s="1151" t="s">
        <v>740</v>
      </c>
      <c r="J6" s="877" t="s">
        <v>46</v>
      </c>
      <c r="K6" s="1153" t="s">
        <v>532</v>
      </c>
      <c r="L6" s="1153" t="s">
        <v>533</v>
      </c>
      <c r="M6" s="1153" t="s">
        <v>534</v>
      </c>
    </row>
    <row r="7" spans="1:16" ht="195.75" customHeight="1" x14ac:dyDescent="0.25">
      <c r="A7" s="877"/>
      <c r="B7" s="877"/>
      <c r="C7" s="877"/>
      <c r="D7" s="877"/>
      <c r="E7" s="1161"/>
      <c r="F7" s="551" t="s">
        <v>741</v>
      </c>
      <c r="G7" s="551" t="s">
        <v>742</v>
      </c>
      <c r="H7" s="1163"/>
      <c r="I7" s="1152"/>
      <c r="J7" s="877"/>
      <c r="K7" s="1153"/>
      <c r="L7" s="1153"/>
      <c r="M7" s="1153"/>
      <c r="N7" s="561"/>
    </row>
    <row r="8" spans="1:16" s="19" customFormat="1" x14ac:dyDescent="0.25">
      <c r="A8" s="1131" t="s">
        <v>13</v>
      </c>
      <c r="B8" s="1131"/>
      <c r="C8" s="1131"/>
      <c r="D8" s="170">
        <f>E8+J8</f>
        <v>806628</v>
      </c>
      <c r="E8" s="170">
        <f>E11+E10+E9</f>
        <v>767908</v>
      </c>
      <c r="F8" s="170">
        <f t="shared" ref="F8:I8" si="0">F11+F10+F9</f>
        <v>400801</v>
      </c>
      <c r="G8" s="170">
        <f t="shared" si="0"/>
        <v>351233</v>
      </c>
      <c r="H8" s="170">
        <f t="shared" si="0"/>
        <v>15365</v>
      </c>
      <c r="I8" s="170">
        <f t="shared" si="0"/>
        <v>509</v>
      </c>
      <c r="J8" s="170">
        <f>J11+J10+J9</f>
        <v>38720</v>
      </c>
      <c r="K8" s="170">
        <f>K9+K10+K11</f>
        <v>4764</v>
      </c>
      <c r="L8" s="170">
        <f t="shared" ref="L8:M8" si="1">L9+L10+L11</f>
        <v>32152</v>
      </c>
      <c r="M8" s="170">
        <f t="shared" si="1"/>
        <v>1804</v>
      </c>
      <c r="N8" s="14"/>
      <c r="O8" s="552"/>
      <c r="P8" s="552"/>
    </row>
    <row r="9" spans="1:16" s="19" customFormat="1" x14ac:dyDescent="0.25">
      <c r="A9" s="553"/>
      <c r="B9" s="553"/>
      <c r="C9" s="16" t="s">
        <v>14</v>
      </c>
      <c r="D9" s="16"/>
      <c r="E9" s="16"/>
      <c r="F9" s="16"/>
      <c r="G9" s="16"/>
      <c r="H9" s="16"/>
      <c r="I9" s="16"/>
      <c r="J9" s="16"/>
      <c r="K9" s="146"/>
      <c r="L9" s="146"/>
      <c r="M9" s="146"/>
      <c r="N9" s="14"/>
    </row>
    <row r="10" spans="1:16" s="19" customFormat="1" x14ac:dyDescent="0.25">
      <c r="A10" s="553"/>
      <c r="B10" s="553"/>
      <c r="C10" s="16" t="s">
        <v>545</v>
      </c>
      <c r="D10" s="16"/>
      <c r="E10" s="16"/>
      <c r="F10" s="16"/>
      <c r="G10" s="16"/>
      <c r="H10" s="16"/>
      <c r="I10" s="16"/>
      <c r="J10" s="16"/>
      <c r="K10" s="146"/>
      <c r="L10" s="146"/>
      <c r="M10" s="146"/>
      <c r="N10" s="14"/>
    </row>
    <row r="11" spans="1:16" s="19" customFormat="1" x14ac:dyDescent="0.25">
      <c r="A11" s="1131" t="s">
        <v>15</v>
      </c>
      <c r="B11" s="1131"/>
      <c r="C11" s="1131"/>
      <c r="D11" s="170">
        <f t="shared" ref="D11:M11" si="2">SUM(D12:D149)-D37-D75-D76-D78-D79-D80-D85-D88-D92</f>
        <v>806628</v>
      </c>
      <c r="E11" s="170">
        <f t="shared" si="2"/>
        <v>767908</v>
      </c>
      <c r="F11" s="170">
        <f t="shared" si="2"/>
        <v>400801</v>
      </c>
      <c r="G11" s="170">
        <f t="shared" si="2"/>
        <v>351233</v>
      </c>
      <c r="H11" s="170">
        <f t="shared" si="2"/>
        <v>15365</v>
      </c>
      <c r="I11" s="170">
        <f t="shared" si="2"/>
        <v>509</v>
      </c>
      <c r="J11" s="170">
        <f t="shared" si="2"/>
        <v>38720</v>
      </c>
      <c r="K11" s="170">
        <f t="shared" si="2"/>
        <v>4764</v>
      </c>
      <c r="L11" s="170">
        <f t="shared" si="2"/>
        <v>32152</v>
      </c>
      <c r="M11" s="170">
        <f t="shared" si="2"/>
        <v>1804</v>
      </c>
      <c r="N11" s="14"/>
    </row>
    <row r="12" spans="1:16" x14ac:dyDescent="0.25">
      <c r="A12" s="588">
        <v>1</v>
      </c>
      <c r="B12" s="70" t="s">
        <v>54</v>
      </c>
      <c r="C12" s="30" t="s">
        <v>55</v>
      </c>
      <c r="D12" s="555">
        <f>E12+J12</f>
        <v>5672</v>
      </c>
      <c r="E12" s="555">
        <f>F12+G12+H12+I12</f>
        <v>5666</v>
      </c>
      <c r="F12" s="555">
        <v>3897</v>
      </c>
      <c r="G12" s="555">
        <v>1720</v>
      </c>
      <c r="H12" s="555">
        <v>49</v>
      </c>
      <c r="I12" s="555">
        <v>0</v>
      </c>
      <c r="J12" s="555">
        <f>K12+L12+M12</f>
        <v>6</v>
      </c>
      <c r="K12" s="556">
        <v>0</v>
      </c>
      <c r="L12" s="556">
        <v>0</v>
      </c>
      <c r="M12" s="556">
        <v>6</v>
      </c>
      <c r="N12" s="14"/>
    </row>
    <row r="13" spans="1:16" x14ac:dyDescent="0.25">
      <c r="A13" s="588">
        <v>2</v>
      </c>
      <c r="B13" s="71" t="s">
        <v>56</v>
      </c>
      <c r="C13" s="30" t="s">
        <v>57</v>
      </c>
      <c r="D13" s="555">
        <f t="shared" ref="D13:D43" si="3">E13+J13</f>
        <v>3923</v>
      </c>
      <c r="E13" s="555">
        <f t="shared" ref="E13:E79" si="4">F13+G13+H13+I13</f>
        <v>3270</v>
      </c>
      <c r="F13" s="555">
        <v>1535</v>
      </c>
      <c r="G13" s="555">
        <v>1691</v>
      </c>
      <c r="H13" s="555">
        <v>44</v>
      </c>
      <c r="I13" s="555">
        <v>0</v>
      </c>
      <c r="J13" s="555">
        <f t="shared" ref="J13:J79" si="5">K13+L13+M13</f>
        <v>653</v>
      </c>
      <c r="K13" s="556">
        <v>69</v>
      </c>
      <c r="L13" s="556">
        <v>580</v>
      </c>
      <c r="M13" s="556">
        <v>4</v>
      </c>
      <c r="N13" s="14"/>
    </row>
    <row r="14" spans="1:16" x14ac:dyDescent="0.25">
      <c r="A14" s="588">
        <v>3</v>
      </c>
      <c r="B14" s="604" t="s">
        <v>16</v>
      </c>
      <c r="C14" s="30" t="s">
        <v>17</v>
      </c>
      <c r="D14" s="555">
        <f t="shared" si="3"/>
        <v>12562</v>
      </c>
      <c r="E14" s="555">
        <f t="shared" si="4"/>
        <v>11797</v>
      </c>
      <c r="F14" s="555">
        <v>5773</v>
      </c>
      <c r="G14" s="555">
        <v>5791</v>
      </c>
      <c r="H14" s="555">
        <v>233</v>
      </c>
      <c r="I14" s="555">
        <v>0</v>
      </c>
      <c r="J14" s="555">
        <f t="shared" si="5"/>
        <v>765</v>
      </c>
      <c r="K14" s="556">
        <f>111-22</f>
        <v>89</v>
      </c>
      <c r="L14" s="556">
        <v>644</v>
      </c>
      <c r="M14" s="556">
        <v>32</v>
      </c>
      <c r="N14" s="14"/>
    </row>
    <row r="15" spans="1:16" x14ac:dyDescent="0.25">
      <c r="A15" s="588">
        <v>4</v>
      </c>
      <c r="B15" s="70" t="s">
        <v>58</v>
      </c>
      <c r="C15" s="30" t="s">
        <v>59</v>
      </c>
      <c r="D15" s="555">
        <f t="shared" si="3"/>
        <v>4340</v>
      </c>
      <c r="E15" s="555">
        <f t="shared" si="4"/>
        <v>4332</v>
      </c>
      <c r="F15" s="555">
        <v>2278</v>
      </c>
      <c r="G15" s="555">
        <v>2012</v>
      </c>
      <c r="H15" s="555">
        <v>42</v>
      </c>
      <c r="I15" s="555">
        <v>0</v>
      </c>
      <c r="J15" s="555">
        <f t="shared" si="5"/>
        <v>8</v>
      </c>
      <c r="K15" s="556">
        <v>0</v>
      </c>
      <c r="L15" s="556">
        <v>0</v>
      </c>
      <c r="M15" s="556">
        <v>8</v>
      </c>
      <c r="N15" s="14"/>
    </row>
    <row r="16" spans="1:16" x14ac:dyDescent="0.25">
      <c r="A16" s="588">
        <v>5</v>
      </c>
      <c r="B16" s="70" t="s">
        <v>60</v>
      </c>
      <c r="C16" s="30" t="s">
        <v>61</v>
      </c>
      <c r="D16" s="555">
        <f t="shared" si="3"/>
        <v>4947</v>
      </c>
      <c r="E16" s="555">
        <f t="shared" si="4"/>
        <v>4942</v>
      </c>
      <c r="F16" s="555">
        <v>2960</v>
      </c>
      <c r="G16" s="555">
        <v>1931</v>
      </c>
      <c r="H16" s="555">
        <v>51</v>
      </c>
      <c r="I16" s="555">
        <v>0</v>
      </c>
      <c r="J16" s="555">
        <f t="shared" si="5"/>
        <v>5</v>
      </c>
      <c r="K16" s="556">
        <v>0</v>
      </c>
      <c r="L16" s="556">
        <v>0</v>
      </c>
      <c r="M16" s="556">
        <v>5</v>
      </c>
      <c r="N16" s="14"/>
    </row>
    <row r="17" spans="1:14" x14ac:dyDescent="0.25">
      <c r="A17" s="588">
        <v>6</v>
      </c>
      <c r="B17" s="604" t="s">
        <v>18</v>
      </c>
      <c r="C17" s="30" t="s">
        <v>19</v>
      </c>
      <c r="D17" s="555">
        <f t="shared" si="3"/>
        <v>26893</v>
      </c>
      <c r="E17" s="555">
        <f t="shared" si="4"/>
        <v>25099</v>
      </c>
      <c r="F17" s="555">
        <v>14264</v>
      </c>
      <c r="G17" s="555">
        <v>10153</v>
      </c>
      <c r="H17" s="555">
        <v>682</v>
      </c>
      <c r="I17" s="555">
        <v>0</v>
      </c>
      <c r="J17" s="555">
        <f t="shared" si="5"/>
        <v>1794</v>
      </c>
      <c r="K17" s="556">
        <v>178</v>
      </c>
      <c r="L17" s="556">
        <v>1532</v>
      </c>
      <c r="M17" s="556">
        <v>84</v>
      </c>
      <c r="N17" s="14"/>
    </row>
    <row r="18" spans="1:14" x14ac:dyDescent="0.25">
      <c r="A18" s="588">
        <v>7</v>
      </c>
      <c r="B18" s="70" t="s">
        <v>62</v>
      </c>
      <c r="C18" s="30" t="s">
        <v>63</v>
      </c>
      <c r="D18" s="555">
        <f t="shared" si="3"/>
        <v>9239</v>
      </c>
      <c r="E18" s="555">
        <f t="shared" si="4"/>
        <v>8343</v>
      </c>
      <c r="F18" s="555">
        <v>4239</v>
      </c>
      <c r="G18" s="555">
        <v>3979</v>
      </c>
      <c r="H18" s="555">
        <v>125</v>
      </c>
      <c r="I18" s="555">
        <v>0</v>
      </c>
      <c r="J18" s="555">
        <f t="shared" si="5"/>
        <v>896</v>
      </c>
      <c r="K18" s="556">
        <v>95</v>
      </c>
      <c r="L18" s="556">
        <v>787</v>
      </c>
      <c r="M18" s="556">
        <v>14</v>
      </c>
      <c r="N18" s="14"/>
    </row>
    <row r="19" spans="1:14" x14ac:dyDescent="0.25">
      <c r="A19" s="588">
        <v>8</v>
      </c>
      <c r="B19" s="604" t="s">
        <v>64</v>
      </c>
      <c r="C19" s="30" t="s">
        <v>65</v>
      </c>
      <c r="D19" s="555">
        <f t="shared" si="3"/>
        <v>2639</v>
      </c>
      <c r="E19" s="555">
        <f t="shared" si="4"/>
        <v>2634</v>
      </c>
      <c r="F19" s="555">
        <v>1023</v>
      </c>
      <c r="G19" s="555">
        <v>1565</v>
      </c>
      <c r="H19" s="555">
        <v>46</v>
      </c>
      <c r="I19" s="555">
        <v>0</v>
      </c>
      <c r="J19" s="555">
        <f t="shared" si="5"/>
        <v>5</v>
      </c>
      <c r="K19" s="556">
        <v>0</v>
      </c>
      <c r="L19" s="556">
        <v>0</v>
      </c>
      <c r="M19" s="556">
        <v>5</v>
      </c>
      <c r="N19" s="14"/>
    </row>
    <row r="20" spans="1:14" x14ac:dyDescent="0.25">
      <c r="A20" s="588">
        <v>9</v>
      </c>
      <c r="B20" s="604" t="s">
        <v>66</v>
      </c>
      <c r="C20" s="30" t="s">
        <v>67</v>
      </c>
      <c r="D20" s="555">
        <f t="shared" si="3"/>
        <v>5520</v>
      </c>
      <c r="E20" s="555">
        <f t="shared" si="4"/>
        <v>5293</v>
      </c>
      <c r="F20" s="555">
        <v>3091</v>
      </c>
      <c r="G20" s="555">
        <v>2147</v>
      </c>
      <c r="H20" s="555">
        <v>55</v>
      </c>
      <c r="I20" s="555">
        <v>0</v>
      </c>
      <c r="J20" s="555">
        <f t="shared" si="5"/>
        <v>227</v>
      </c>
      <c r="K20" s="556">
        <f>22</f>
        <v>22</v>
      </c>
      <c r="L20" s="556">
        <v>197</v>
      </c>
      <c r="M20" s="556">
        <v>8</v>
      </c>
      <c r="N20" s="14"/>
    </row>
    <row r="21" spans="1:14" x14ac:dyDescent="0.25">
      <c r="A21" s="588">
        <v>10</v>
      </c>
      <c r="B21" s="604" t="s">
        <v>68</v>
      </c>
      <c r="C21" s="30" t="s">
        <v>69</v>
      </c>
      <c r="D21" s="555">
        <f t="shared" si="3"/>
        <v>5923</v>
      </c>
      <c r="E21" s="555">
        <f t="shared" si="4"/>
        <v>5911</v>
      </c>
      <c r="F21" s="555">
        <v>3373</v>
      </c>
      <c r="G21" s="555">
        <v>2478</v>
      </c>
      <c r="H21" s="555">
        <v>60</v>
      </c>
      <c r="I21" s="555">
        <v>0</v>
      </c>
      <c r="J21" s="555">
        <f t="shared" si="5"/>
        <v>12</v>
      </c>
      <c r="K21" s="556">
        <v>0</v>
      </c>
      <c r="L21" s="556">
        <v>0</v>
      </c>
      <c r="M21" s="556">
        <v>12</v>
      </c>
      <c r="N21" s="14"/>
    </row>
    <row r="22" spans="1:14" x14ac:dyDescent="0.25">
      <c r="A22" s="588">
        <v>11</v>
      </c>
      <c r="B22" s="604" t="s">
        <v>70</v>
      </c>
      <c r="C22" s="30" t="s">
        <v>71</v>
      </c>
      <c r="D22" s="555">
        <f t="shared" si="3"/>
        <v>4843</v>
      </c>
      <c r="E22" s="555">
        <f t="shared" si="4"/>
        <v>4839</v>
      </c>
      <c r="F22" s="555">
        <v>2668</v>
      </c>
      <c r="G22" s="555">
        <v>2113</v>
      </c>
      <c r="H22" s="555">
        <v>58</v>
      </c>
      <c r="I22" s="555">
        <v>0</v>
      </c>
      <c r="J22" s="555">
        <f t="shared" si="5"/>
        <v>4</v>
      </c>
      <c r="K22" s="556">
        <v>0</v>
      </c>
      <c r="L22" s="556">
        <v>0</v>
      </c>
      <c r="M22" s="556">
        <v>4</v>
      </c>
      <c r="N22" s="14"/>
    </row>
    <row r="23" spans="1:14" x14ac:dyDescent="0.25">
      <c r="A23" s="588">
        <v>12</v>
      </c>
      <c r="B23" s="604" t="s">
        <v>72</v>
      </c>
      <c r="C23" s="30" t="s">
        <v>73</v>
      </c>
      <c r="D23" s="555">
        <f t="shared" si="3"/>
        <v>7307</v>
      </c>
      <c r="E23" s="555">
        <f t="shared" si="4"/>
        <v>6532</v>
      </c>
      <c r="F23" s="555">
        <v>2871</v>
      </c>
      <c r="G23" s="555">
        <v>3545</v>
      </c>
      <c r="H23" s="555">
        <v>116</v>
      </c>
      <c r="I23" s="555">
        <v>0</v>
      </c>
      <c r="J23" s="555">
        <f t="shared" si="5"/>
        <v>775</v>
      </c>
      <c r="K23" s="556">
        <v>80</v>
      </c>
      <c r="L23" s="556">
        <v>682</v>
      </c>
      <c r="M23" s="556">
        <v>13</v>
      </c>
      <c r="N23" s="14"/>
    </row>
    <row r="24" spans="1:14" x14ac:dyDescent="0.25">
      <c r="A24" s="588">
        <v>13</v>
      </c>
      <c r="B24" s="604" t="s">
        <v>74</v>
      </c>
      <c r="C24" s="30" t="s">
        <v>75</v>
      </c>
      <c r="D24" s="555">
        <f t="shared" si="3"/>
        <v>0</v>
      </c>
      <c r="E24" s="555">
        <f t="shared" si="4"/>
        <v>0</v>
      </c>
      <c r="F24" s="555">
        <v>0</v>
      </c>
      <c r="G24" s="555">
        <v>0</v>
      </c>
      <c r="H24" s="555">
        <v>0</v>
      </c>
      <c r="I24" s="555">
        <v>0</v>
      </c>
      <c r="J24" s="555">
        <f t="shared" si="5"/>
        <v>0</v>
      </c>
      <c r="K24" s="556">
        <v>0</v>
      </c>
      <c r="L24" s="556">
        <v>0</v>
      </c>
      <c r="M24" s="556">
        <v>0</v>
      </c>
      <c r="N24" s="14"/>
    </row>
    <row r="25" spans="1:14" x14ac:dyDescent="0.25">
      <c r="A25" s="588">
        <v>14</v>
      </c>
      <c r="B25" s="604" t="s">
        <v>76</v>
      </c>
      <c r="C25" s="30" t="s">
        <v>77</v>
      </c>
      <c r="D25" s="555">
        <f t="shared" si="3"/>
        <v>5026</v>
      </c>
      <c r="E25" s="555">
        <f t="shared" si="4"/>
        <v>4721</v>
      </c>
      <c r="F25" s="555">
        <v>2478</v>
      </c>
      <c r="G25" s="555">
        <v>2154</v>
      </c>
      <c r="H25" s="555">
        <v>89</v>
      </c>
      <c r="I25" s="555">
        <v>0</v>
      </c>
      <c r="J25" s="555">
        <f t="shared" si="5"/>
        <v>305</v>
      </c>
      <c r="K25" s="556">
        <v>45</v>
      </c>
      <c r="L25" s="556">
        <v>251</v>
      </c>
      <c r="M25" s="556">
        <v>9</v>
      </c>
      <c r="N25" s="14"/>
    </row>
    <row r="26" spans="1:14" x14ac:dyDescent="0.25">
      <c r="A26" s="588">
        <v>15</v>
      </c>
      <c r="B26" s="604" t="s">
        <v>78</v>
      </c>
      <c r="C26" s="30" t="s">
        <v>79</v>
      </c>
      <c r="D26" s="555">
        <f t="shared" si="3"/>
        <v>6386</v>
      </c>
      <c r="E26" s="555">
        <f t="shared" si="4"/>
        <v>6367</v>
      </c>
      <c r="F26" s="555">
        <v>3554</v>
      </c>
      <c r="G26" s="555">
        <v>2667</v>
      </c>
      <c r="H26" s="555">
        <v>146</v>
      </c>
      <c r="I26" s="555">
        <v>0</v>
      </c>
      <c r="J26" s="555">
        <f t="shared" si="5"/>
        <v>19</v>
      </c>
      <c r="K26" s="556">
        <v>0</v>
      </c>
      <c r="L26" s="556">
        <v>0</v>
      </c>
      <c r="M26" s="556">
        <v>19</v>
      </c>
      <c r="N26" s="14"/>
    </row>
    <row r="27" spans="1:14" x14ac:dyDescent="0.25">
      <c r="A27" s="588">
        <v>16</v>
      </c>
      <c r="B27" s="604" t="s">
        <v>80</v>
      </c>
      <c r="C27" s="30" t="s">
        <v>81</v>
      </c>
      <c r="D27" s="555">
        <f t="shared" si="3"/>
        <v>7572</v>
      </c>
      <c r="E27" s="555">
        <f t="shared" si="4"/>
        <v>7551</v>
      </c>
      <c r="F27" s="555">
        <v>4171</v>
      </c>
      <c r="G27" s="555">
        <v>3192</v>
      </c>
      <c r="H27" s="555">
        <v>188</v>
      </c>
      <c r="I27" s="555">
        <v>0</v>
      </c>
      <c r="J27" s="555">
        <f t="shared" si="5"/>
        <v>21</v>
      </c>
      <c r="K27" s="556">
        <v>0</v>
      </c>
      <c r="L27" s="556">
        <v>0</v>
      </c>
      <c r="M27" s="556">
        <v>21</v>
      </c>
      <c r="N27" s="14"/>
    </row>
    <row r="28" spans="1:14" x14ac:dyDescent="0.25">
      <c r="A28" s="588">
        <v>17</v>
      </c>
      <c r="B28" s="604" t="s">
        <v>20</v>
      </c>
      <c r="C28" s="30" t="s">
        <v>21</v>
      </c>
      <c r="D28" s="555">
        <f t="shared" si="3"/>
        <v>22482</v>
      </c>
      <c r="E28" s="555">
        <f t="shared" si="4"/>
        <v>21249</v>
      </c>
      <c r="F28" s="555">
        <v>8311</v>
      </c>
      <c r="G28" s="555">
        <v>12574</v>
      </c>
      <c r="H28" s="555">
        <v>364</v>
      </c>
      <c r="I28" s="555">
        <v>0</v>
      </c>
      <c r="J28" s="555">
        <f t="shared" si="5"/>
        <v>1233</v>
      </c>
      <c r="K28" s="556">
        <v>181</v>
      </c>
      <c r="L28" s="556">
        <v>1011</v>
      </c>
      <c r="M28" s="556">
        <v>41</v>
      </c>
      <c r="N28" s="14"/>
    </row>
    <row r="29" spans="1:14" x14ac:dyDescent="0.25">
      <c r="A29" s="588">
        <v>18</v>
      </c>
      <c r="B29" s="70" t="s">
        <v>82</v>
      </c>
      <c r="C29" s="30" t="s">
        <v>83</v>
      </c>
      <c r="D29" s="555">
        <f t="shared" si="3"/>
        <v>2734</v>
      </c>
      <c r="E29" s="555">
        <f t="shared" si="4"/>
        <v>2731</v>
      </c>
      <c r="F29" s="555">
        <v>1383</v>
      </c>
      <c r="G29" s="555">
        <v>1253</v>
      </c>
      <c r="H29" s="555">
        <v>95</v>
      </c>
      <c r="I29" s="555">
        <v>0</v>
      </c>
      <c r="J29" s="555">
        <f t="shared" si="5"/>
        <v>3</v>
      </c>
      <c r="K29" s="556">
        <v>0</v>
      </c>
      <c r="L29" s="556">
        <v>0</v>
      </c>
      <c r="M29" s="556">
        <v>3</v>
      </c>
      <c r="N29" s="14"/>
    </row>
    <row r="30" spans="1:14" x14ac:dyDescent="0.25">
      <c r="A30" s="588">
        <v>19</v>
      </c>
      <c r="B30" s="70" t="s">
        <v>84</v>
      </c>
      <c r="C30" s="30" t="s">
        <v>85</v>
      </c>
      <c r="D30" s="555">
        <f t="shared" si="3"/>
        <v>2219</v>
      </c>
      <c r="E30" s="555">
        <f t="shared" si="4"/>
        <v>2214</v>
      </c>
      <c r="F30" s="555">
        <v>1030</v>
      </c>
      <c r="G30" s="555">
        <v>1147</v>
      </c>
      <c r="H30" s="555">
        <v>37</v>
      </c>
      <c r="I30" s="555">
        <v>0</v>
      </c>
      <c r="J30" s="555">
        <f t="shared" si="5"/>
        <v>5</v>
      </c>
      <c r="K30" s="556">
        <v>0</v>
      </c>
      <c r="L30" s="556">
        <v>0</v>
      </c>
      <c r="M30" s="556">
        <v>5</v>
      </c>
      <c r="N30" s="14"/>
    </row>
    <row r="31" spans="1:14" x14ac:dyDescent="0.25">
      <c r="A31" s="588">
        <v>20</v>
      </c>
      <c r="B31" s="70" t="s">
        <v>86</v>
      </c>
      <c r="C31" s="30" t="s">
        <v>87</v>
      </c>
      <c r="D31" s="555">
        <f t="shared" si="3"/>
        <v>16992</v>
      </c>
      <c r="E31" s="555">
        <f t="shared" si="4"/>
        <v>16253</v>
      </c>
      <c r="F31" s="555">
        <v>11166</v>
      </c>
      <c r="G31" s="555">
        <v>4830</v>
      </c>
      <c r="H31" s="555">
        <v>257</v>
      </c>
      <c r="I31" s="555">
        <v>0</v>
      </c>
      <c r="J31" s="555">
        <f t="shared" si="5"/>
        <v>739</v>
      </c>
      <c r="K31" s="556">
        <v>74</v>
      </c>
      <c r="L31" s="556">
        <v>637</v>
      </c>
      <c r="M31" s="556">
        <v>28</v>
      </c>
      <c r="N31" s="14"/>
    </row>
    <row r="32" spans="1:14" x14ac:dyDescent="0.25">
      <c r="A32" s="588">
        <v>21</v>
      </c>
      <c r="B32" s="70" t="s">
        <v>22</v>
      </c>
      <c r="C32" s="30" t="s">
        <v>23</v>
      </c>
      <c r="D32" s="555">
        <f t="shared" si="3"/>
        <v>8123</v>
      </c>
      <c r="E32" s="555">
        <f t="shared" si="4"/>
        <v>7200</v>
      </c>
      <c r="F32" s="555">
        <v>3646</v>
      </c>
      <c r="G32" s="555">
        <v>3266</v>
      </c>
      <c r="H32" s="555">
        <v>285</v>
      </c>
      <c r="I32" s="555">
        <v>3</v>
      </c>
      <c r="J32" s="555">
        <f t="shared" si="5"/>
        <v>923</v>
      </c>
      <c r="K32" s="556">
        <v>118</v>
      </c>
      <c r="L32" s="556">
        <v>768</v>
      </c>
      <c r="M32" s="556">
        <v>37</v>
      </c>
      <c r="N32" s="14"/>
    </row>
    <row r="33" spans="1:14" x14ac:dyDescent="0.25">
      <c r="A33" s="588">
        <v>22</v>
      </c>
      <c r="B33" s="604" t="s">
        <v>24</v>
      </c>
      <c r="C33" s="30" t="s">
        <v>25</v>
      </c>
      <c r="D33" s="555">
        <f t="shared" si="3"/>
        <v>1772</v>
      </c>
      <c r="E33" s="555">
        <f t="shared" si="4"/>
        <v>1765</v>
      </c>
      <c r="F33" s="555">
        <v>954</v>
      </c>
      <c r="G33" s="555">
        <v>769</v>
      </c>
      <c r="H33" s="555">
        <v>42</v>
      </c>
      <c r="I33" s="555">
        <v>0</v>
      </c>
      <c r="J33" s="555">
        <f t="shared" si="5"/>
        <v>7</v>
      </c>
      <c r="K33" s="556">
        <v>0</v>
      </c>
      <c r="L33" s="556">
        <v>0</v>
      </c>
      <c r="M33" s="556">
        <v>7</v>
      </c>
      <c r="N33" s="14"/>
    </row>
    <row r="34" spans="1:14" x14ac:dyDescent="0.25">
      <c r="A34" s="588">
        <v>23</v>
      </c>
      <c r="B34" s="604" t="s">
        <v>88</v>
      </c>
      <c r="C34" s="30" t="s">
        <v>89</v>
      </c>
      <c r="D34" s="555">
        <f t="shared" si="3"/>
        <v>0</v>
      </c>
      <c r="E34" s="555">
        <f t="shared" si="4"/>
        <v>0</v>
      </c>
      <c r="F34" s="555">
        <v>0</v>
      </c>
      <c r="G34" s="555">
        <v>0</v>
      </c>
      <c r="H34" s="555">
        <v>0</v>
      </c>
      <c r="I34" s="555">
        <v>0</v>
      </c>
      <c r="J34" s="555">
        <f t="shared" si="5"/>
        <v>0</v>
      </c>
      <c r="K34" s="556">
        <v>0</v>
      </c>
      <c r="L34" s="556">
        <v>0</v>
      </c>
      <c r="M34" s="556">
        <v>0</v>
      </c>
      <c r="N34" s="14"/>
    </row>
    <row r="35" spans="1:14" x14ac:dyDescent="0.25">
      <c r="A35" s="588">
        <v>24</v>
      </c>
      <c r="B35" s="604" t="s">
        <v>90</v>
      </c>
      <c r="C35" s="30" t="s">
        <v>91</v>
      </c>
      <c r="D35" s="555">
        <f t="shared" si="3"/>
        <v>0</v>
      </c>
      <c r="E35" s="555">
        <f t="shared" si="4"/>
        <v>0</v>
      </c>
      <c r="F35" s="555">
        <v>0</v>
      </c>
      <c r="G35" s="555">
        <v>0</v>
      </c>
      <c r="H35" s="555">
        <v>0</v>
      </c>
      <c r="I35" s="555">
        <v>0</v>
      </c>
      <c r="J35" s="555">
        <f t="shared" si="5"/>
        <v>0</v>
      </c>
      <c r="K35" s="556">
        <v>0</v>
      </c>
      <c r="L35" s="556">
        <v>0</v>
      </c>
      <c r="M35" s="556">
        <v>0</v>
      </c>
      <c r="N35" s="14"/>
    </row>
    <row r="36" spans="1:14" ht="24" x14ac:dyDescent="0.25">
      <c r="A36" s="1132">
        <v>25</v>
      </c>
      <c r="B36" s="70" t="s">
        <v>92</v>
      </c>
      <c r="C36" s="144" t="s">
        <v>784</v>
      </c>
      <c r="D36" s="555">
        <f t="shared" si="3"/>
        <v>60611</v>
      </c>
      <c r="E36" s="555">
        <f t="shared" si="4"/>
        <v>57219</v>
      </c>
      <c r="F36" s="555">
        <v>26937</v>
      </c>
      <c r="G36" s="555">
        <v>28780</v>
      </c>
      <c r="H36" s="555">
        <v>1163</v>
      </c>
      <c r="I36" s="555">
        <v>339</v>
      </c>
      <c r="J36" s="555">
        <f t="shared" si="5"/>
        <v>3392</v>
      </c>
      <c r="K36" s="556">
        <v>421</v>
      </c>
      <c r="L36" s="556">
        <v>2817</v>
      </c>
      <c r="M36" s="556">
        <v>154</v>
      </c>
      <c r="N36" s="14"/>
    </row>
    <row r="37" spans="1:14" x14ac:dyDescent="0.25">
      <c r="A37" s="1134"/>
      <c r="B37" s="604" t="s">
        <v>94</v>
      </c>
      <c r="C37" s="30" t="s">
        <v>95</v>
      </c>
      <c r="D37" s="555">
        <f t="shared" si="3"/>
        <v>166</v>
      </c>
      <c r="E37" s="555">
        <f t="shared" si="4"/>
        <v>133</v>
      </c>
      <c r="F37" s="555">
        <v>74</v>
      </c>
      <c r="G37" s="555">
        <v>39</v>
      </c>
      <c r="H37" s="555">
        <v>0</v>
      </c>
      <c r="I37" s="555">
        <v>20</v>
      </c>
      <c r="J37" s="555">
        <f t="shared" si="5"/>
        <v>33</v>
      </c>
      <c r="K37" s="556">
        <v>0</v>
      </c>
      <c r="L37" s="556">
        <v>0</v>
      </c>
      <c r="M37" s="556">
        <v>33</v>
      </c>
      <c r="N37" s="14"/>
    </row>
    <row r="38" spans="1:14" x14ac:dyDescent="0.25">
      <c r="A38" s="588">
        <v>26</v>
      </c>
      <c r="B38" s="71" t="s">
        <v>96</v>
      </c>
      <c r="C38" s="30" t="s">
        <v>97</v>
      </c>
      <c r="D38" s="555">
        <f t="shared" si="3"/>
        <v>0</v>
      </c>
      <c r="E38" s="555">
        <f t="shared" si="4"/>
        <v>0</v>
      </c>
      <c r="F38" s="555">
        <v>0</v>
      </c>
      <c r="G38" s="555">
        <v>0</v>
      </c>
      <c r="H38" s="555">
        <v>0</v>
      </c>
      <c r="I38" s="555">
        <v>0</v>
      </c>
      <c r="J38" s="555">
        <f t="shared" si="5"/>
        <v>0</v>
      </c>
      <c r="K38" s="556">
        <v>0</v>
      </c>
      <c r="L38" s="556">
        <v>0</v>
      </c>
      <c r="M38" s="556">
        <v>0</v>
      </c>
      <c r="N38" s="14"/>
    </row>
    <row r="39" spans="1:14" x14ac:dyDescent="0.25">
      <c r="A39" s="588">
        <v>27</v>
      </c>
      <c r="B39" s="71" t="s">
        <v>26</v>
      </c>
      <c r="C39" s="30" t="s">
        <v>27</v>
      </c>
      <c r="D39" s="555">
        <f t="shared" si="3"/>
        <v>15114</v>
      </c>
      <c r="E39" s="555">
        <f t="shared" si="4"/>
        <v>14301</v>
      </c>
      <c r="F39" s="555">
        <v>6528</v>
      </c>
      <c r="G39" s="555">
        <v>7551</v>
      </c>
      <c r="H39" s="555">
        <v>222</v>
      </c>
      <c r="I39" s="555">
        <v>0</v>
      </c>
      <c r="J39" s="555">
        <f t="shared" si="5"/>
        <v>813</v>
      </c>
      <c r="K39" s="556">
        <v>93</v>
      </c>
      <c r="L39" s="556">
        <v>696</v>
      </c>
      <c r="M39" s="556">
        <v>24</v>
      </c>
      <c r="N39" s="14"/>
    </row>
    <row r="40" spans="1:14" x14ac:dyDescent="0.25">
      <c r="A40" s="588">
        <v>28</v>
      </c>
      <c r="B40" s="70" t="s">
        <v>98</v>
      </c>
      <c r="C40" s="30" t="s">
        <v>99</v>
      </c>
      <c r="D40" s="555">
        <f t="shared" si="3"/>
        <v>25225</v>
      </c>
      <c r="E40" s="555">
        <f t="shared" si="4"/>
        <v>23752</v>
      </c>
      <c r="F40" s="555">
        <v>12817</v>
      </c>
      <c r="G40" s="555">
        <v>10405</v>
      </c>
      <c r="H40" s="555">
        <v>530</v>
      </c>
      <c r="I40" s="555">
        <v>0</v>
      </c>
      <c r="J40" s="555">
        <f t="shared" si="5"/>
        <v>1473</v>
      </c>
      <c r="K40" s="556">
        <v>142</v>
      </c>
      <c r="L40" s="556">
        <v>1284</v>
      </c>
      <c r="M40" s="556">
        <v>47</v>
      </c>
      <c r="N40" s="14"/>
    </row>
    <row r="41" spans="1:14" x14ac:dyDescent="0.25">
      <c r="A41" s="588">
        <v>29</v>
      </c>
      <c r="B41" s="71" t="s">
        <v>100</v>
      </c>
      <c r="C41" s="30" t="s">
        <v>101</v>
      </c>
      <c r="D41" s="555">
        <f t="shared" si="3"/>
        <v>3727</v>
      </c>
      <c r="E41" s="555">
        <f t="shared" si="4"/>
        <v>3720</v>
      </c>
      <c r="F41" s="555">
        <v>1596</v>
      </c>
      <c r="G41" s="555">
        <v>2065</v>
      </c>
      <c r="H41" s="555">
        <v>59</v>
      </c>
      <c r="I41" s="555">
        <v>0</v>
      </c>
      <c r="J41" s="555">
        <f t="shared" si="5"/>
        <v>7</v>
      </c>
      <c r="K41" s="556">
        <v>0</v>
      </c>
      <c r="L41" s="556">
        <v>0</v>
      </c>
      <c r="M41" s="556">
        <v>7</v>
      </c>
      <c r="N41" s="14"/>
    </row>
    <row r="42" spans="1:14" x14ac:dyDescent="0.25">
      <c r="A42" s="588">
        <v>30</v>
      </c>
      <c r="B42" s="604" t="s">
        <v>102</v>
      </c>
      <c r="C42" s="30" t="s">
        <v>103</v>
      </c>
      <c r="D42" s="555">
        <f t="shared" si="3"/>
        <v>16141</v>
      </c>
      <c r="E42" s="555">
        <f t="shared" si="4"/>
        <v>15298</v>
      </c>
      <c r="F42" s="555">
        <v>9313</v>
      </c>
      <c r="G42" s="555">
        <v>5710</v>
      </c>
      <c r="H42" s="555">
        <v>270</v>
      </c>
      <c r="I42" s="555">
        <v>5</v>
      </c>
      <c r="J42" s="555">
        <f t="shared" si="5"/>
        <v>843</v>
      </c>
      <c r="K42" s="556">
        <v>104</v>
      </c>
      <c r="L42" s="556">
        <v>710</v>
      </c>
      <c r="M42" s="556">
        <v>29</v>
      </c>
      <c r="N42" s="14"/>
    </row>
    <row r="43" spans="1:14" x14ac:dyDescent="0.25">
      <c r="A43" s="588">
        <v>31</v>
      </c>
      <c r="B43" s="71" t="s">
        <v>104</v>
      </c>
      <c r="C43" s="30" t="s">
        <v>105</v>
      </c>
      <c r="D43" s="555">
        <f t="shared" si="3"/>
        <v>6598</v>
      </c>
      <c r="E43" s="555">
        <f t="shared" si="4"/>
        <v>6242</v>
      </c>
      <c r="F43" s="555">
        <v>3814</v>
      </c>
      <c r="G43" s="555">
        <v>2311</v>
      </c>
      <c r="H43" s="555">
        <v>116</v>
      </c>
      <c r="I43" s="555">
        <v>1</v>
      </c>
      <c r="J43" s="555">
        <f t="shared" si="5"/>
        <v>356</v>
      </c>
      <c r="K43" s="556">
        <v>32</v>
      </c>
      <c r="L43" s="556">
        <v>311</v>
      </c>
      <c r="M43" s="556">
        <v>13</v>
      </c>
      <c r="N43" s="14"/>
    </row>
    <row r="44" spans="1:14" x14ac:dyDescent="0.25">
      <c r="A44" s="588">
        <v>32</v>
      </c>
      <c r="B44" s="70" t="s">
        <v>106</v>
      </c>
      <c r="C44" s="30" t="s">
        <v>107</v>
      </c>
      <c r="D44" s="555">
        <f t="shared" ref="D44:D80" si="6">E44+J44</f>
        <v>13218</v>
      </c>
      <c r="E44" s="555">
        <f t="shared" si="4"/>
        <v>12131</v>
      </c>
      <c r="F44" s="555">
        <v>6468</v>
      </c>
      <c r="G44" s="555">
        <v>5357</v>
      </c>
      <c r="H44" s="555">
        <v>295</v>
      </c>
      <c r="I44" s="555">
        <v>11</v>
      </c>
      <c r="J44" s="555">
        <f t="shared" si="5"/>
        <v>1087</v>
      </c>
      <c r="K44" s="556">
        <v>73</v>
      </c>
      <c r="L44" s="556">
        <v>979</v>
      </c>
      <c r="M44" s="556">
        <v>35</v>
      </c>
      <c r="N44" s="14"/>
    </row>
    <row r="45" spans="1:14" x14ac:dyDescent="0.25">
      <c r="A45" s="588">
        <v>33</v>
      </c>
      <c r="B45" s="589" t="s">
        <v>108</v>
      </c>
      <c r="C45" s="590" t="s">
        <v>109</v>
      </c>
      <c r="D45" s="555">
        <f t="shared" si="6"/>
        <v>5354</v>
      </c>
      <c r="E45" s="555">
        <f t="shared" si="4"/>
        <v>4852</v>
      </c>
      <c r="F45" s="555">
        <v>2421</v>
      </c>
      <c r="G45" s="555">
        <v>2365</v>
      </c>
      <c r="H45" s="555">
        <v>66</v>
      </c>
      <c r="I45" s="555">
        <v>0</v>
      </c>
      <c r="J45" s="555">
        <f t="shared" si="5"/>
        <v>502</v>
      </c>
      <c r="K45" s="556">
        <v>59</v>
      </c>
      <c r="L45" s="556">
        <v>440</v>
      </c>
      <c r="M45" s="556">
        <v>3</v>
      </c>
      <c r="N45" s="14"/>
    </row>
    <row r="46" spans="1:14" x14ac:dyDescent="0.25">
      <c r="A46" s="588">
        <v>34</v>
      </c>
      <c r="B46" s="70" t="s">
        <v>110</v>
      </c>
      <c r="C46" s="30" t="s">
        <v>111</v>
      </c>
      <c r="D46" s="555">
        <f t="shared" si="6"/>
        <v>4584</v>
      </c>
      <c r="E46" s="555">
        <f t="shared" si="4"/>
        <v>4583</v>
      </c>
      <c r="F46" s="555">
        <v>2995</v>
      </c>
      <c r="G46" s="555">
        <v>1549</v>
      </c>
      <c r="H46" s="555">
        <v>39</v>
      </c>
      <c r="I46" s="555">
        <v>0</v>
      </c>
      <c r="J46" s="555">
        <f t="shared" si="5"/>
        <v>1</v>
      </c>
      <c r="K46" s="556">
        <v>0</v>
      </c>
      <c r="L46" s="556">
        <v>0</v>
      </c>
      <c r="M46" s="556">
        <v>1</v>
      </c>
      <c r="N46" s="14"/>
    </row>
    <row r="47" spans="1:14" x14ac:dyDescent="0.25">
      <c r="A47" s="588">
        <v>35</v>
      </c>
      <c r="B47" s="70" t="s">
        <v>112</v>
      </c>
      <c r="C47" s="30" t="s">
        <v>113</v>
      </c>
      <c r="D47" s="555">
        <f t="shared" si="6"/>
        <v>8222</v>
      </c>
      <c r="E47" s="555">
        <f t="shared" si="4"/>
        <v>8216</v>
      </c>
      <c r="F47" s="555">
        <v>4961</v>
      </c>
      <c r="G47" s="555">
        <v>3167</v>
      </c>
      <c r="H47" s="555">
        <v>88</v>
      </c>
      <c r="I47" s="555">
        <v>0</v>
      </c>
      <c r="J47" s="555">
        <f t="shared" si="5"/>
        <v>6</v>
      </c>
      <c r="K47" s="556">
        <v>0</v>
      </c>
      <c r="L47" s="556">
        <v>0</v>
      </c>
      <c r="M47" s="556">
        <v>6</v>
      </c>
      <c r="N47" s="14"/>
    </row>
    <row r="48" spans="1:14" x14ac:dyDescent="0.25">
      <c r="A48" s="588">
        <v>36</v>
      </c>
      <c r="B48" s="604" t="s">
        <v>114</v>
      </c>
      <c r="C48" s="30" t="s">
        <v>115</v>
      </c>
      <c r="D48" s="555">
        <f t="shared" si="6"/>
        <v>3093</v>
      </c>
      <c r="E48" s="555">
        <f t="shared" si="4"/>
        <v>3090</v>
      </c>
      <c r="F48" s="555">
        <v>1811</v>
      </c>
      <c r="G48" s="555">
        <v>1252</v>
      </c>
      <c r="H48" s="555">
        <v>27</v>
      </c>
      <c r="I48" s="555">
        <v>0</v>
      </c>
      <c r="J48" s="555">
        <f t="shared" si="5"/>
        <v>3</v>
      </c>
      <c r="K48" s="556">
        <v>0</v>
      </c>
      <c r="L48" s="556">
        <v>0</v>
      </c>
      <c r="M48" s="556">
        <v>3</v>
      </c>
      <c r="N48" s="14"/>
    </row>
    <row r="49" spans="1:14" x14ac:dyDescent="0.25">
      <c r="A49" s="588">
        <v>37</v>
      </c>
      <c r="B49" s="71" t="s">
        <v>116</v>
      </c>
      <c r="C49" s="30" t="s">
        <v>117</v>
      </c>
      <c r="D49" s="555">
        <f t="shared" si="6"/>
        <v>2215</v>
      </c>
      <c r="E49" s="555">
        <f t="shared" si="4"/>
        <v>2215</v>
      </c>
      <c r="F49" s="555">
        <v>895</v>
      </c>
      <c r="G49" s="555">
        <v>1320</v>
      </c>
      <c r="H49" s="555">
        <v>0</v>
      </c>
      <c r="I49" s="555">
        <v>0</v>
      </c>
      <c r="J49" s="555">
        <f t="shared" si="5"/>
        <v>0</v>
      </c>
      <c r="K49" s="556">
        <v>0</v>
      </c>
      <c r="L49" s="556">
        <v>0</v>
      </c>
      <c r="M49" s="556">
        <v>0</v>
      </c>
      <c r="N49" s="14"/>
    </row>
    <row r="50" spans="1:14" x14ac:dyDescent="0.25">
      <c r="A50" s="588">
        <v>38</v>
      </c>
      <c r="B50" s="604" t="s">
        <v>28</v>
      </c>
      <c r="C50" s="30" t="s">
        <v>29</v>
      </c>
      <c r="D50" s="555">
        <f t="shared" si="6"/>
        <v>20890</v>
      </c>
      <c r="E50" s="555">
        <f t="shared" si="4"/>
        <v>19884</v>
      </c>
      <c r="F50" s="555">
        <v>9194</v>
      </c>
      <c r="G50" s="555">
        <v>10231</v>
      </c>
      <c r="H50" s="555">
        <v>456</v>
      </c>
      <c r="I50" s="555">
        <v>3</v>
      </c>
      <c r="J50" s="555">
        <f t="shared" si="5"/>
        <v>1006</v>
      </c>
      <c r="K50" s="556">
        <v>140</v>
      </c>
      <c r="L50" s="556">
        <v>816</v>
      </c>
      <c r="M50" s="556">
        <v>50</v>
      </c>
      <c r="N50" s="14"/>
    </row>
    <row r="51" spans="1:14" x14ac:dyDescent="0.25">
      <c r="A51" s="588">
        <v>39</v>
      </c>
      <c r="B51" s="70" t="s">
        <v>118</v>
      </c>
      <c r="C51" s="30" t="s">
        <v>119</v>
      </c>
      <c r="D51" s="555">
        <f t="shared" si="6"/>
        <v>4313</v>
      </c>
      <c r="E51" s="555">
        <f t="shared" si="4"/>
        <v>4303</v>
      </c>
      <c r="F51" s="555">
        <v>1796</v>
      </c>
      <c r="G51" s="555">
        <v>2449</v>
      </c>
      <c r="H51" s="555">
        <v>58</v>
      </c>
      <c r="I51" s="555">
        <v>0</v>
      </c>
      <c r="J51" s="555">
        <f t="shared" si="5"/>
        <v>10</v>
      </c>
      <c r="K51" s="556">
        <v>0</v>
      </c>
      <c r="L51" s="556">
        <v>0</v>
      </c>
      <c r="M51" s="556">
        <v>10</v>
      </c>
      <c r="N51" s="14"/>
    </row>
    <row r="52" spans="1:14" x14ac:dyDescent="0.25">
      <c r="A52" s="588">
        <v>40</v>
      </c>
      <c r="B52" s="70" t="s">
        <v>120</v>
      </c>
      <c r="C52" s="30" t="s">
        <v>121</v>
      </c>
      <c r="D52" s="555">
        <f t="shared" si="6"/>
        <v>18169</v>
      </c>
      <c r="E52" s="555">
        <f t="shared" si="4"/>
        <v>17157</v>
      </c>
      <c r="F52" s="555">
        <v>7745</v>
      </c>
      <c r="G52" s="555">
        <v>9097</v>
      </c>
      <c r="H52" s="555">
        <v>315</v>
      </c>
      <c r="I52" s="555">
        <v>0</v>
      </c>
      <c r="J52" s="555">
        <f t="shared" si="5"/>
        <v>1012</v>
      </c>
      <c r="K52" s="556">
        <v>108</v>
      </c>
      <c r="L52" s="556">
        <v>868</v>
      </c>
      <c r="M52" s="556">
        <v>36</v>
      </c>
      <c r="N52" s="14"/>
    </row>
    <row r="53" spans="1:14" x14ac:dyDescent="0.25">
      <c r="A53" s="588">
        <v>41</v>
      </c>
      <c r="B53" s="604" t="s">
        <v>122</v>
      </c>
      <c r="C53" s="30" t="s">
        <v>123</v>
      </c>
      <c r="D53" s="555">
        <f t="shared" si="6"/>
        <v>3892</v>
      </c>
      <c r="E53" s="555">
        <f t="shared" si="4"/>
        <v>3887</v>
      </c>
      <c r="F53" s="555">
        <v>2243</v>
      </c>
      <c r="G53" s="555">
        <v>1608</v>
      </c>
      <c r="H53" s="555">
        <v>36</v>
      </c>
      <c r="I53" s="555">
        <v>0</v>
      </c>
      <c r="J53" s="555">
        <f t="shared" si="5"/>
        <v>5</v>
      </c>
      <c r="K53" s="556">
        <v>0</v>
      </c>
      <c r="L53" s="556">
        <v>0</v>
      </c>
      <c r="M53" s="556">
        <v>5</v>
      </c>
      <c r="N53" s="14"/>
    </row>
    <row r="54" spans="1:14" x14ac:dyDescent="0.25">
      <c r="A54" s="588">
        <v>42</v>
      </c>
      <c r="B54" s="71" t="s">
        <v>124</v>
      </c>
      <c r="C54" s="30" t="s">
        <v>125</v>
      </c>
      <c r="D54" s="555">
        <f>E54+J54</f>
        <v>4743</v>
      </c>
      <c r="E54" s="555">
        <f>F54+G54+H54+I54</f>
        <v>4384</v>
      </c>
      <c r="F54" s="555">
        <v>2363</v>
      </c>
      <c r="G54" s="555">
        <v>1959</v>
      </c>
      <c r="H54" s="555">
        <v>62</v>
      </c>
      <c r="I54" s="555">
        <v>0</v>
      </c>
      <c r="J54" s="555">
        <f>K54+L54+M54</f>
        <v>359</v>
      </c>
      <c r="K54" s="556">
        <f>70-36</f>
        <v>34</v>
      </c>
      <c r="L54" s="556">
        <v>320</v>
      </c>
      <c r="M54" s="556">
        <v>5</v>
      </c>
      <c r="N54" s="14"/>
    </row>
    <row r="55" spans="1:14" x14ac:dyDescent="0.25">
      <c r="A55" s="588">
        <v>43</v>
      </c>
      <c r="B55" s="604" t="s">
        <v>126</v>
      </c>
      <c r="C55" s="30" t="s">
        <v>127</v>
      </c>
      <c r="D55" s="555">
        <f t="shared" si="6"/>
        <v>5624</v>
      </c>
      <c r="E55" s="555">
        <f t="shared" si="4"/>
        <v>5611</v>
      </c>
      <c r="F55" s="555">
        <v>2877</v>
      </c>
      <c r="G55" s="555">
        <v>2654</v>
      </c>
      <c r="H55" s="555">
        <v>80</v>
      </c>
      <c r="I55" s="555">
        <v>0</v>
      </c>
      <c r="J55" s="555">
        <f t="shared" si="5"/>
        <v>13</v>
      </c>
      <c r="K55" s="556">
        <v>0</v>
      </c>
      <c r="L55" s="556">
        <v>0</v>
      </c>
      <c r="M55" s="556">
        <v>13</v>
      </c>
      <c r="N55" s="14"/>
    </row>
    <row r="56" spans="1:14" x14ac:dyDescent="0.25">
      <c r="A56" s="588">
        <v>44</v>
      </c>
      <c r="B56" s="71" t="s">
        <v>128</v>
      </c>
      <c r="C56" s="30" t="s">
        <v>129</v>
      </c>
      <c r="D56" s="555">
        <f t="shared" si="6"/>
        <v>8041</v>
      </c>
      <c r="E56" s="555">
        <f t="shared" si="4"/>
        <v>7622</v>
      </c>
      <c r="F56" s="555">
        <v>4886</v>
      </c>
      <c r="G56" s="555">
        <v>2626</v>
      </c>
      <c r="H56" s="555">
        <v>110</v>
      </c>
      <c r="I56" s="555">
        <v>0</v>
      </c>
      <c r="J56" s="555">
        <f t="shared" si="5"/>
        <v>419</v>
      </c>
      <c r="K56" s="556">
        <f>36</f>
        <v>36</v>
      </c>
      <c r="L56" s="556">
        <v>368</v>
      </c>
      <c r="M56" s="556">
        <v>15</v>
      </c>
      <c r="N56" s="14"/>
    </row>
    <row r="57" spans="1:14" x14ac:dyDescent="0.25">
      <c r="A57" s="588">
        <v>45</v>
      </c>
      <c r="B57" s="604" t="s">
        <v>130</v>
      </c>
      <c r="C57" s="30" t="s">
        <v>131</v>
      </c>
      <c r="D57" s="555">
        <f t="shared" si="6"/>
        <v>2740</v>
      </c>
      <c r="E57" s="555">
        <f t="shared" si="4"/>
        <v>2736</v>
      </c>
      <c r="F57" s="555">
        <v>1554</v>
      </c>
      <c r="G57" s="555">
        <v>1167</v>
      </c>
      <c r="H57" s="555">
        <v>15</v>
      </c>
      <c r="I57" s="555">
        <v>0</v>
      </c>
      <c r="J57" s="555">
        <f t="shared" si="5"/>
        <v>4</v>
      </c>
      <c r="K57" s="556">
        <v>0</v>
      </c>
      <c r="L57" s="556">
        <v>0</v>
      </c>
      <c r="M57" s="556">
        <v>4</v>
      </c>
      <c r="N57" s="14"/>
    </row>
    <row r="58" spans="1:14" x14ac:dyDescent="0.25">
      <c r="A58" s="588">
        <v>46</v>
      </c>
      <c r="B58" s="71" t="s">
        <v>132</v>
      </c>
      <c r="C58" s="30" t="s">
        <v>133</v>
      </c>
      <c r="D58" s="555">
        <f t="shared" si="6"/>
        <v>5407</v>
      </c>
      <c r="E58" s="555">
        <f t="shared" si="4"/>
        <v>4742</v>
      </c>
      <c r="F58" s="555">
        <v>2814</v>
      </c>
      <c r="G58" s="555">
        <v>1868</v>
      </c>
      <c r="H58" s="555">
        <v>60</v>
      </c>
      <c r="I58" s="555">
        <v>0</v>
      </c>
      <c r="J58" s="555">
        <f t="shared" si="5"/>
        <v>665</v>
      </c>
      <c r="K58" s="556">
        <v>64</v>
      </c>
      <c r="L58" s="556">
        <v>589</v>
      </c>
      <c r="M58" s="556">
        <v>12</v>
      </c>
      <c r="N58" s="14"/>
    </row>
    <row r="59" spans="1:14" x14ac:dyDescent="0.25">
      <c r="A59" s="588">
        <v>47</v>
      </c>
      <c r="B59" s="604" t="s">
        <v>134</v>
      </c>
      <c r="C59" s="30" t="s">
        <v>135</v>
      </c>
      <c r="D59" s="555">
        <f t="shared" si="6"/>
        <v>9672</v>
      </c>
      <c r="E59" s="555">
        <f t="shared" si="4"/>
        <v>9365</v>
      </c>
      <c r="F59" s="555">
        <v>5210</v>
      </c>
      <c r="G59" s="555">
        <v>4066</v>
      </c>
      <c r="H59" s="555">
        <v>89</v>
      </c>
      <c r="I59" s="555">
        <v>0</v>
      </c>
      <c r="J59" s="555">
        <f t="shared" si="5"/>
        <v>307</v>
      </c>
      <c r="K59" s="556">
        <v>43</v>
      </c>
      <c r="L59" s="556">
        <v>252</v>
      </c>
      <c r="M59" s="556">
        <v>12</v>
      </c>
      <c r="N59" s="14"/>
    </row>
    <row r="60" spans="1:14" x14ac:dyDescent="0.25">
      <c r="A60" s="588">
        <v>48</v>
      </c>
      <c r="B60" s="604" t="s">
        <v>136</v>
      </c>
      <c r="C60" s="30" t="s">
        <v>137</v>
      </c>
      <c r="D60" s="555">
        <f t="shared" si="6"/>
        <v>25230</v>
      </c>
      <c r="E60" s="555">
        <f t="shared" si="4"/>
        <v>24010</v>
      </c>
      <c r="F60" s="555">
        <v>13750</v>
      </c>
      <c r="G60" s="555">
        <v>9770</v>
      </c>
      <c r="H60" s="555">
        <v>483</v>
      </c>
      <c r="I60" s="555">
        <v>7</v>
      </c>
      <c r="J60" s="555">
        <f t="shared" si="5"/>
        <v>1220</v>
      </c>
      <c r="K60" s="556">
        <v>151</v>
      </c>
      <c r="L60" s="556">
        <v>1003</v>
      </c>
      <c r="M60" s="556">
        <v>66</v>
      </c>
      <c r="N60" s="14"/>
    </row>
    <row r="61" spans="1:14" x14ac:dyDescent="0.25">
      <c r="A61" s="588">
        <v>49</v>
      </c>
      <c r="B61" s="604" t="s">
        <v>138</v>
      </c>
      <c r="C61" s="30" t="s">
        <v>139</v>
      </c>
      <c r="D61" s="555">
        <f>E61+J61</f>
        <v>5105</v>
      </c>
      <c r="E61" s="555">
        <f>F61+G61+H61+I61</f>
        <v>4167</v>
      </c>
      <c r="F61" s="555">
        <v>2545</v>
      </c>
      <c r="G61" s="555">
        <v>1547</v>
      </c>
      <c r="H61" s="555">
        <v>75</v>
      </c>
      <c r="I61" s="555">
        <v>0</v>
      </c>
      <c r="J61" s="555">
        <f>K61+L61+M61</f>
        <v>938</v>
      </c>
      <c r="K61" s="556">
        <v>96</v>
      </c>
      <c r="L61" s="556">
        <v>833</v>
      </c>
      <c r="M61" s="556">
        <v>9</v>
      </c>
      <c r="N61" s="14"/>
    </row>
    <row r="62" spans="1:14" x14ac:dyDescent="0.25">
      <c r="A62" s="588">
        <v>50</v>
      </c>
      <c r="B62" s="604" t="s">
        <v>140</v>
      </c>
      <c r="C62" s="30" t="s">
        <v>141</v>
      </c>
      <c r="D62" s="555">
        <f t="shared" si="6"/>
        <v>3273</v>
      </c>
      <c r="E62" s="555">
        <f t="shared" si="4"/>
        <v>3266</v>
      </c>
      <c r="F62" s="555">
        <v>1433</v>
      </c>
      <c r="G62" s="555">
        <v>1786</v>
      </c>
      <c r="H62" s="555">
        <v>47</v>
      </c>
      <c r="I62" s="555">
        <v>0</v>
      </c>
      <c r="J62" s="555">
        <f t="shared" si="5"/>
        <v>7</v>
      </c>
      <c r="K62" s="556">
        <v>0</v>
      </c>
      <c r="L62" s="556">
        <v>0</v>
      </c>
      <c r="M62" s="556">
        <v>7</v>
      </c>
      <c r="N62" s="14"/>
    </row>
    <row r="63" spans="1:14" x14ac:dyDescent="0.25">
      <c r="A63" s="588">
        <v>51</v>
      </c>
      <c r="B63" s="71" t="s">
        <v>142</v>
      </c>
      <c r="C63" s="30" t="s">
        <v>143</v>
      </c>
      <c r="D63" s="555">
        <f>E63+J63</f>
        <v>5976</v>
      </c>
      <c r="E63" s="555">
        <f>F63+G63+H63+I63</f>
        <v>5963</v>
      </c>
      <c r="F63" s="555">
        <v>3722</v>
      </c>
      <c r="G63" s="555">
        <v>2175</v>
      </c>
      <c r="H63" s="555">
        <v>66</v>
      </c>
      <c r="I63" s="555">
        <v>0</v>
      </c>
      <c r="J63" s="555">
        <f>K63+L63+M63</f>
        <v>13</v>
      </c>
      <c r="K63" s="556">
        <v>0</v>
      </c>
      <c r="L63" s="556">
        <v>0</v>
      </c>
      <c r="M63" s="556">
        <v>13</v>
      </c>
      <c r="N63" s="14"/>
    </row>
    <row r="64" spans="1:14" x14ac:dyDescent="0.25">
      <c r="A64" s="588">
        <v>52</v>
      </c>
      <c r="B64" s="604" t="s">
        <v>144</v>
      </c>
      <c r="C64" s="30" t="s">
        <v>145</v>
      </c>
      <c r="D64" s="555">
        <f t="shared" si="6"/>
        <v>0</v>
      </c>
      <c r="E64" s="555">
        <f t="shared" si="4"/>
        <v>0</v>
      </c>
      <c r="F64" s="555">
        <v>0</v>
      </c>
      <c r="G64" s="555">
        <v>0</v>
      </c>
      <c r="H64" s="555">
        <v>0</v>
      </c>
      <c r="I64" s="555">
        <v>0</v>
      </c>
      <c r="J64" s="555">
        <f t="shared" si="5"/>
        <v>0</v>
      </c>
      <c r="K64" s="556">
        <v>0</v>
      </c>
      <c r="L64" s="556">
        <v>0</v>
      </c>
      <c r="M64" s="556">
        <v>0</v>
      </c>
      <c r="N64" s="14"/>
    </row>
    <row r="65" spans="1:14" x14ac:dyDescent="0.25">
      <c r="A65" s="588">
        <v>53</v>
      </c>
      <c r="B65" s="604" t="s">
        <v>146</v>
      </c>
      <c r="C65" s="30" t="s">
        <v>147</v>
      </c>
      <c r="D65" s="555">
        <f t="shared" si="6"/>
        <v>0</v>
      </c>
      <c r="E65" s="555">
        <f t="shared" si="4"/>
        <v>0</v>
      </c>
      <c r="F65" s="555">
        <v>0</v>
      </c>
      <c r="G65" s="555">
        <v>0</v>
      </c>
      <c r="H65" s="555">
        <v>0</v>
      </c>
      <c r="I65" s="555">
        <v>0</v>
      </c>
      <c r="J65" s="555">
        <f t="shared" si="5"/>
        <v>0</v>
      </c>
      <c r="K65" s="556">
        <v>0</v>
      </c>
      <c r="L65" s="556">
        <v>0</v>
      </c>
      <c r="M65" s="556">
        <v>0</v>
      </c>
      <c r="N65" s="14"/>
    </row>
    <row r="66" spans="1:14" x14ac:dyDescent="0.25">
      <c r="A66" s="588">
        <v>54</v>
      </c>
      <c r="B66" s="604" t="s">
        <v>148</v>
      </c>
      <c r="C66" s="30" t="s">
        <v>149</v>
      </c>
      <c r="D66" s="555">
        <f t="shared" si="6"/>
        <v>1189</v>
      </c>
      <c r="E66" s="555">
        <f t="shared" si="4"/>
        <v>1084</v>
      </c>
      <c r="F66" s="555">
        <v>555</v>
      </c>
      <c r="G66" s="555">
        <v>519</v>
      </c>
      <c r="H66" s="555">
        <v>0</v>
      </c>
      <c r="I66" s="555">
        <v>10</v>
      </c>
      <c r="J66" s="555">
        <f t="shared" si="5"/>
        <v>105</v>
      </c>
      <c r="K66" s="556">
        <v>0</v>
      </c>
      <c r="L66" s="556">
        <v>0</v>
      </c>
      <c r="M66" s="556">
        <v>105</v>
      </c>
      <c r="N66" s="14"/>
    </row>
    <row r="67" spans="1:14" x14ac:dyDescent="0.25">
      <c r="A67" s="588">
        <v>55</v>
      </c>
      <c r="B67" s="71" t="s">
        <v>150</v>
      </c>
      <c r="C67" s="30" t="s">
        <v>151</v>
      </c>
      <c r="D67" s="555">
        <f t="shared" si="6"/>
        <v>674</v>
      </c>
      <c r="E67" s="555">
        <f t="shared" si="4"/>
        <v>581</v>
      </c>
      <c r="F67" s="555">
        <v>251</v>
      </c>
      <c r="G67" s="555">
        <v>321</v>
      </c>
      <c r="H67" s="555">
        <v>0</v>
      </c>
      <c r="I67" s="555">
        <v>9</v>
      </c>
      <c r="J67" s="555">
        <f t="shared" si="5"/>
        <v>93</v>
      </c>
      <c r="K67" s="556">
        <v>0</v>
      </c>
      <c r="L67" s="556">
        <v>0</v>
      </c>
      <c r="M67" s="556">
        <v>93</v>
      </c>
      <c r="N67" s="14"/>
    </row>
    <row r="68" spans="1:14" x14ac:dyDescent="0.25">
      <c r="A68" s="588">
        <v>56</v>
      </c>
      <c r="B68" s="71" t="s">
        <v>154</v>
      </c>
      <c r="C68" s="30" t="s">
        <v>155</v>
      </c>
      <c r="D68" s="555">
        <f t="shared" si="6"/>
        <v>1617</v>
      </c>
      <c r="E68" s="555">
        <f t="shared" si="4"/>
        <v>1444</v>
      </c>
      <c r="F68" s="555">
        <v>778</v>
      </c>
      <c r="G68" s="555">
        <v>625</v>
      </c>
      <c r="H68" s="555">
        <v>0</v>
      </c>
      <c r="I68" s="555">
        <v>41</v>
      </c>
      <c r="J68" s="555">
        <f t="shared" si="5"/>
        <v>173</v>
      </c>
      <c r="K68" s="556">
        <v>0</v>
      </c>
      <c r="L68" s="556">
        <v>0</v>
      </c>
      <c r="M68" s="556">
        <v>173</v>
      </c>
      <c r="N68" s="14"/>
    </row>
    <row r="69" spans="1:14" x14ac:dyDescent="0.25">
      <c r="A69" s="588">
        <v>57</v>
      </c>
      <c r="B69" s="70" t="s">
        <v>158</v>
      </c>
      <c r="C69" s="30" t="s">
        <v>159</v>
      </c>
      <c r="D69" s="555">
        <f t="shared" si="6"/>
        <v>0</v>
      </c>
      <c r="E69" s="555">
        <f t="shared" si="4"/>
        <v>0</v>
      </c>
      <c r="F69" s="555">
        <v>0</v>
      </c>
      <c r="G69" s="555">
        <v>0</v>
      </c>
      <c r="H69" s="555">
        <v>0</v>
      </c>
      <c r="I69" s="555">
        <v>0</v>
      </c>
      <c r="J69" s="555">
        <f t="shared" si="5"/>
        <v>0</v>
      </c>
      <c r="K69" s="556">
        <v>0</v>
      </c>
      <c r="L69" s="556">
        <v>0</v>
      </c>
      <c r="M69" s="556">
        <v>0</v>
      </c>
      <c r="N69" s="14"/>
    </row>
    <row r="70" spans="1:14" x14ac:dyDescent="0.25">
      <c r="A70" s="588">
        <v>58</v>
      </c>
      <c r="B70" s="70" t="s">
        <v>160</v>
      </c>
      <c r="C70" s="30" t="s">
        <v>161</v>
      </c>
      <c r="D70" s="555">
        <f t="shared" si="6"/>
        <v>0</v>
      </c>
      <c r="E70" s="555">
        <f t="shared" si="4"/>
        <v>0</v>
      </c>
      <c r="F70" s="555">
        <v>0</v>
      </c>
      <c r="G70" s="555">
        <v>0</v>
      </c>
      <c r="H70" s="555">
        <v>0</v>
      </c>
      <c r="I70" s="555">
        <v>0</v>
      </c>
      <c r="J70" s="555">
        <f t="shared" si="5"/>
        <v>0</v>
      </c>
      <c r="K70" s="556">
        <v>0</v>
      </c>
      <c r="L70" s="556">
        <v>0</v>
      </c>
      <c r="M70" s="556">
        <v>0</v>
      </c>
      <c r="N70" s="14"/>
    </row>
    <row r="71" spans="1:14" x14ac:dyDescent="0.25">
      <c r="A71" s="588">
        <v>59</v>
      </c>
      <c r="B71" s="71" t="s">
        <v>162</v>
      </c>
      <c r="C71" s="30" t="s">
        <v>163</v>
      </c>
      <c r="D71" s="555">
        <f t="shared" si="6"/>
        <v>19225</v>
      </c>
      <c r="E71" s="555">
        <f t="shared" si="4"/>
        <v>18085</v>
      </c>
      <c r="F71" s="555">
        <v>8602</v>
      </c>
      <c r="G71" s="555">
        <v>9046</v>
      </c>
      <c r="H71" s="555">
        <v>437</v>
      </c>
      <c r="I71" s="555">
        <v>0</v>
      </c>
      <c r="J71" s="555">
        <f t="shared" si="5"/>
        <v>1140</v>
      </c>
      <c r="K71" s="556">
        <v>171</v>
      </c>
      <c r="L71" s="556">
        <v>969</v>
      </c>
      <c r="M71" s="556">
        <v>0</v>
      </c>
      <c r="N71" s="14"/>
    </row>
    <row r="72" spans="1:14" x14ac:dyDescent="0.25">
      <c r="A72" s="588">
        <v>60</v>
      </c>
      <c r="B72" s="71" t="s">
        <v>164</v>
      </c>
      <c r="C72" s="30" t="s">
        <v>165</v>
      </c>
      <c r="D72" s="555">
        <f t="shared" si="6"/>
        <v>12039</v>
      </c>
      <c r="E72" s="555">
        <f t="shared" si="4"/>
        <v>11361</v>
      </c>
      <c r="F72" s="555">
        <v>5666</v>
      </c>
      <c r="G72" s="555">
        <v>5695</v>
      </c>
      <c r="H72" s="555">
        <v>0</v>
      </c>
      <c r="I72" s="555">
        <v>0</v>
      </c>
      <c r="J72" s="555">
        <f t="shared" si="5"/>
        <v>678</v>
      </c>
      <c r="K72" s="556">
        <v>92</v>
      </c>
      <c r="L72" s="556">
        <v>586</v>
      </c>
      <c r="M72" s="556">
        <v>0</v>
      </c>
      <c r="N72" s="14"/>
    </row>
    <row r="73" spans="1:14" x14ac:dyDescent="0.25">
      <c r="A73" s="588">
        <v>61</v>
      </c>
      <c r="B73" s="71" t="s">
        <v>166</v>
      </c>
      <c r="C73" s="30" t="s">
        <v>167</v>
      </c>
      <c r="D73" s="555">
        <f t="shared" si="6"/>
        <v>27693</v>
      </c>
      <c r="E73" s="555">
        <f t="shared" si="4"/>
        <v>26537</v>
      </c>
      <c r="F73" s="555">
        <v>13931</v>
      </c>
      <c r="G73" s="555">
        <v>12070</v>
      </c>
      <c r="H73" s="555">
        <v>536</v>
      </c>
      <c r="I73" s="555">
        <v>0</v>
      </c>
      <c r="J73" s="555">
        <f t="shared" si="5"/>
        <v>1156</v>
      </c>
      <c r="K73" s="556">
        <v>220</v>
      </c>
      <c r="L73" s="556">
        <v>936</v>
      </c>
      <c r="M73" s="556">
        <v>0</v>
      </c>
      <c r="N73" s="14"/>
    </row>
    <row r="74" spans="1:14" ht="12" customHeight="1" x14ac:dyDescent="0.25">
      <c r="A74" s="1132">
        <v>62</v>
      </c>
      <c r="B74" s="70" t="s">
        <v>170</v>
      </c>
      <c r="C74" s="144" t="s">
        <v>785</v>
      </c>
      <c r="D74" s="555">
        <f t="shared" si="6"/>
        <v>0</v>
      </c>
      <c r="E74" s="555">
        <f t="shared" si="4"/>
        <v>0</v>
      </c>
      <c r="F74" s="555">
        <v>0</v>
      </c>
      <c r="G74" s="555">
        <v>0</v>
      </c>
      <c r="H74" s="555">
        <v>0</v>
      </c>
      <c r="I74" s="555">
        <v>0</v>
      </c>
      <c r="J74" s="555">
        <f t="shared" si="5"/>
        <v>0</v>
      </c>
      <c r="K74" s="556">
        <v>0</v>
      </c>
      <c r="L74" s="556">
        <v>0</v>
      </c>
      <c r="M74" s="556">
        <v>0</v>
      </c>
      <c r="N74" s="14"/>
    </row>
    <row r="75" spans="1:14" ht="12" customHeight="1" x14ac:dyDescent="0.25">
      <c r="A75" s="1133"/>
      <c r="B75" s="70" t="s">
        <v>168</v>
      </c>
      <c r="C75" s="30" t="s">
        <v>169</v>
      </c>
      <c r="D75" s="555">
        <f t="shared" si="6"/>
        <v>0</v>
      </c>
      <c r="E75" s="555">
        <f t="shared" si="4"/>
        <v>0</v>
      </c>
      <c r="F75" s="555">
        <v>0</v>
      </c>
      <c r="G75" s="555">
        <v>0</v>
      </c>
      <c r="H75" s="555"/>
      <c r="I75" s="555">
        <v>0</v>
      </c>
      <c r="J75" s="555">
        <f t="shared" si="5"/>
        <v>0</v>
      </c>
      <c r="K75" s="556"/>
      <c r="L75" s="556"/>
      <c r="M75" s="556">
        <v>0</v>
      </c>
      <c r="N75" s="14"/>
    </row>
    <row r="76" spans="1:14" ht="12" customHeight="1" x14ac:dyDescent="0.25">
      <c r="A76" s="1134"/>
      <c r="B76" s="70" t="s">
        <v>174</v>
      </c>
      <c r="C76" s="30" t="s">
        <v>175</v>
      </c>
      <c r="D76" s="555">
        <f t="shared" si="6"/>
        <v>0</v>
      </c>
      <c r="E76" s="555">
        <f t="shared" si="4"/>
        <v>0</v>
      </c>
      <c r="F76" s="555">
        <v>0</v>
      </c>
      <c r="G76" s="555">
        <v>0</v>
      </c>
      <c r="H76" s="555"/>
      <c r="I76" s="555">
        <v>0</v>
      </c>
      <c r="J76" s="555">
        <f t="shared" si="5"/>
        <v>0</v>
      </c>
      <c r="K76" s="556"/>
      <c r="L76" s="556"/>
      <c r="M76" s="556">
        <v>0</v>
      </c>
      <c r="N76" s="14"/>
    </row>
    <row r="77" spans="1:14" ht="12" customHeight="1" x14ac:dyDescent="0.25">
      <c r="A77" s="1132">
        <v>63</v>
      </c>
      <c r="B77" s="70" t="s">
        <v>176</v>
      </c>
      <c r="C77" s="144" t="s">
        <v>788</v>
      </c>
      <c r="D77" s="555">
        <f t="shared" si="6"/>
        <v>0</v>
      </c>
      <c r="E77" s="555">
        <f t="shared" si="4"/>
        <v>0</v>
      </c>
      <c r="F77" s="555">
        <v>0</v>
      </c>
      <c r="G77" s="555">
        <v>0</v>
      </c>
      <c r="H77" s="555">
        <v>0</v>
      </c>
      <c r="I77" s="555">
        <v>0</v>
      </c>
      <c r="J77" s="555">
        <f t="shared" si="5"/>
        <v>0</v>
      </c>
      <c r="K77" s="556">
        <v>0</v>
      </c>
      <c r="L77" s="556">
        <v>0</v>
      </c>
      <c r="M77" s="556">
        <v>0</v>
      </c>
      <c r="N77" s="14"/>
    </row>
    <row r="78" spans="1:14" ht="12" customHeight="1" x14ac:dyDescent="0.25">
      <c r="A78" s="1133"/>
      <c r="B78" s="71" t="s">
        <v>172</v>
      </c>
      <c r="C78" s="30" t="s">
        <v>173</v>
      </c>
      <c r="D78" s="555">
        <f t="shared" si="6"/>
        <v>0</v>
      </c>
      <c r="E78" s="555">
        <f t="shared" si="4"/>
        <v>0</v>
      </c>
      <c r="F78" s="555">
        <v>0</v>
      </c>
      <c r="G78" s="555">
        <v>0</v>
      </c>
      <c r="H78" s="555"/>
      <c r="I78" s="555">
        <v>0</v>
      </c>
      <c r="J78" s="555">
        <f t="shared" si="5"/>
        <v>0</v>
      </c>
      <c r="K78" s="556"/>
      <c r="L78" s="556"/>
      <c r="M78" s="556">
        <v>0</v>
      </c>
      <c r="N78" s="14"/>
    </row>
    <row r="79" spans="1:14" ht="12" customHeight="1" x14ac:dyDescent="0.25">
      <c r="A79" s="1133"/>
      <c r="B79" s="70" t="s">
        <v>178</v>
      </c>
      <c r="C79" s="30" t="s">
        <v>179</v>
      </c>
      <c r="D79" s="555">
        <f t="shared" si="6"/>
        <v>0</v>
      </c>
      <c r="E79" s="555">
        <f t="shared" si="4"/>
        <v>0</v>
      </c>
      <c r="F79" s="555">
        <v>0</v>
      </c>
      <c r="G79" s="555">
        <v>0</v>
      </c>
      <c r="H79" s="555">
        <v>0</v>
      </c>
      <c r="I79" s="555">
        <v>0</v>
      </c>
      <c r="J79" s="555">
        <f t="shared" si="5"/>
        <v>0</v>
      </c>
      <c r="K79" s="556">
        <v>0</v>
      </c>
      <c r="L79" s="556">
        <v>0</v>
      </c>
      <c r="M79" s="556">
        <v>0</v>
      </c>
      <c r="N79" s="14"/>
    </row>
    <row r="80" spans="1:14" ht="12" customHeight="1" x14ac:dyDescent="0.25">
      <c r="A80" s="1134"/>
      <c r="B80" s="70" t="s">
        <v>180</v>
      </c>
      <c r="C80" s="30" t="s">
        <v>181</v>
      </c>
      <c r="D80" s="555">
        <f t="shared" si="6"/>
        <v>0</v>
      </c>
      <c r="E80" s="555">
        <f t="shared" ref="E80" si="7">F80+G80+H80+I80</f>
        <v>0</v>
      </c>
      <c r="F80" s="555">
        <v>0</v>
      </c>
      <c r="G80" s="555">
        <v>0</v>
      </c>
      <c r="H80" s="555">
        <v>0</v>
      </c>
      <c r="I80" s="555">
        <v>0</v>
      </c>
      <c r="J80" s="555">
        <f t="shared" ref="J80" si="8">K80+L80+M80</f>
        <v>0</v>
      </c>
      <c r="K80" s="556">
        <v>0</v>
      </c>
      <c r="L80" s="556">
        <v>0</v>
      </c>
      <c r="M80" s="556">
        <v>0</v>
      </c>
      <c r="N80" s="14"/>
    </row>
    <row r="81" spans="1:14" x14ac:dyDescent="0.25">
      <c r="A81" s="588">
        <v>64</v>
      </c>
      <c r="B81" s="604" t="s">
        <v>182</v>
      </c>
      <c r="C81" s="30" t="s">
        <v>183</v>
      </c>
      <c r="D81" s="555">
        <f t="shared" ref="D81:D93" si="9">E81+J81</f>
        <v>18755</v>
      </c>
      <c r="E81" s="555">
        <f t="shared" ref="E81:E140" si="10">F81+G81+H81+I81</f>
        <v>17836</v>
      </c>
      <c r="F81" s="555">
        <v>9990</v>
      </c>
      <c r="G81" s="555">
        <v>7467</v>
      </c>
      <c r="H81" s="555">
        <v>379</v>
      </c>
      <c r="I81" s="555">
        <v>0</v>
      </c>
      <c r="J81" s="555">
        <f t="shared" ref="J81:J143" si="11">K81+L81+M81</f>
        <v>919</v>
      </c>
      <c r="K81" s="556">
        <v>131</v>
      </c>
      <c r="L81" s="556">
        <v>738</v>
      </c>
      <c r="M81" s="556">
        <v>50</v>
      </c>
      <c r="N81" s="14"/>
    </row>
    <row r="82" spans="1:14" x14ac:dyDescent="0.25">
      <c r="A82" s="588">
        <v>65</v>
      </c>
      <c r="B82" s="70" t="s">
        <v>184</v>
      </c>
      <c r="C82" s="30" t="s">
        <v>185</v>
      </c>
      <c r="D82" s="555">
        <f t="shared" si="9"/>
        <v>36455</v>
      </c>
      <c r="E82" s="555">
        <f t="shared" si="10"/>
        <v>34998</v>
      </c>
      <c r="F82" s="555">
        <v>18871</v>
      </c>
      <c r="G82" s="555">
        <v>15563</v>
      </c>
      <c r="H82" s="555">
        <v>564</v>
      </c>
      <c r="I82" s="555">
        <v>0</v>
      </c>
      <c r="J82" s="555">
        <f t="shared" si="11"/>
        <v>1457</v>
      </c>
      <c r="K82" s="556">
        <v>226</v>
      </c>
      <c r="L82" s="556">
        <v>1231</v>
      </c>
      <c r="M82" s="556">
        <v>0</v>
      </c>
      <c r="N82" s="14"/>
    </row>
    <row r="83" spans="1:14" x14ac:dyDescent="0.25">
      <c r="A83" s="588">
        <v>66</v>
      </c>
      <c r="B83" s="604" t="s">
        <v>186</v>
      </c>
      <c r="C83" s="30" t="s">
        <v>187</v>
      </c>
      <c r="D83" s="555">
        <f t="shared" si="9"/>
        <v>20411</v>
      </c>
      <c r="E83" s="555">
        <f t="shared" si="10"/>
        <v>19661</v>
      </c>
      <c r="F83" s="555">
        <v>11789</v>
      </c>
      <c r="G83" s="555">
        <v>7668</v>
      </c>
      <c r="H83" s="555">
        <v>204</v>
      </c>
      <c r="I83" s="555">
        <v>0</v>
      </c>
      <c r="J83" s="555">
        <f t="shared" si="11"/>
        <v>750</v>
      </c>
      <c r="K83" s="556">
        <v>154</v>
      </c>
      <c r="L83" s="556">
        <v>596</v>
      </c>
      <c r="M83" s="556">
        <v>0</v>
      </c>
      <c r="N83" s="14"/>
    </row>
    <row r="84" spans="1:14" ht="24" x14ac:dyDescent="0.25">
      <c r="A84" s="1132">
        <v>67</v>
      </c>
      <c r="B84" s="70" t="s">
        <v>188</v>
      </c>
      <c r="C84" s="144" t="s">
        <v>787</v>
      </c>
      <c r="D84" s="555">
        <f t="shared" si="9"/>
        <v>14471</v>
      </c>
      <c r="E84" s="555">
        <f t="shared" si="10"/>
        <v>13805</v>
      </c>
      <c r="F84" s="555">
        <v>6651</v>
      </c>
      <c r="G84" s="555">
        <v>6594</v>
      </c>
      <c r="H84" s="555">
        <v>533</v>
      </c>
      <c r="I84" s="555">
        <v>27</v>
      </c>
      <c r="J84" s="555">
        <f t="shared" si="11"/>
        <v>666</v>
      </c>
      <c r="K84" s="556">
        <v>81</v>
      </c>
      <c r="L84" s="556">
        <v>519</v>
      </c>
      <c r="M84" s="556">
        <v>66</v>
      </c>
      <c r="N84" s="14"/>
    </row>
    <row r="85" spans="1:14" x14ac:dyDescent="0.25">
      <c r="A85" s="1134"/>
      <c r="B85" s="604" t="s">
        <v>156</v>
      </c>
      <c r="C85" s="30" t="s">
        <v>157</v>
      </c>
      <c r="D85" s="555">
        <f t="shared" si="9"/>
        <v>327</v>
      </c>
      <c r="E85" s="555">
        <f t="shared" si="10"/>
        <v>306</v>
      </c>
      <c r="F85" s="555">
        <v>126</v>
      </c>
      <c r="G85" s="555">
        <v>153</v>
      </c>
      <c r="H85" s="555"/>
      <c r="I85" s="555">
        <v>27</v>
      </c>
      <c r="J85" s="555">
        <f t="shared" si="11"/>
        <v>21</v>
      </c>
      <c r="K85" s="556"/>
      <c r="L85" s="556"/>
      <c r="M85" s="556">
        <v>21</v>
      </c>
      <c r="N85" s="14"/>
    </row>
    <row r="86" spans="1:14" x14ac:dyDescent="0.25">
      <c r="A86" s="588">
        <v>68</v>
      </c>
      <c r="B86" s="70" t="s">
        <v>190</v>
      </c>
      <c r="C86" s="30" t="s">
        <v>191</v>
      </c>
      <c r="D86" s="555">
        <f t="shared" si="9"/>
        <v>38335</v>
      </c>
      <c r="E86" s="555">
        <f t="shared" si="10"/>
        <v>36401</v>
      </c>
      <c r="F86" s="555">
        <v>14337</v>
      </c>
      <c r="G86" s="555">
        <v>21252</v>
      </c>
      <c r="H86" s="555">
        <v>812</v>
      </c>
      <c r="I86" s="555">
        <v>0</v>
      </c>
      <c r="J86" s="555">
        <f t="shared" si="11"/>
        <v>1934</v>
      </c>
      <c r="K86" s="556">
        <v>272</v>
      </c>
      <c r="L86" s="556">
        <v>1662</v>
      </c>
      <c r="M86" s="556">
        <v>0</v>
      </c>
      <c r="N86" s="14"/>
    </row>
    <row r="87" spans="1:14" ht="24" x14ac:dyDescent="0.25">
      <c r="A87" s="1132">
        <v>69</v>
      </c>
      <c r="B87" s="70" t="s">
        <v>192</v>
      </c>
      <c r="C87" s="144" t="s">
        <v>786</v>
      </c>
      <c r="D87" s="555">
        <f t="shared" si="9"/>
        <v>1748</v>
      </c>
      <c r="E87" s="555">
        <f t="shared" si="10"/>
        <v>1589</v>
      </c>
      <c r="F87" s="555">
        <v>829</v>
      </c>
      <c r="G87" s="555">
        <v>722</v>
      </c>
      <c r="H87" s="555">
        <v>0</v>
      </c>
      <c r="I87" s="555">
        <v>38</v>
      </c>
      <c r="J87" s="555">
        <f t="shared" si="11"/>
        <v>159</v>
      </c>
      <c r="K87" s="556">
        <v>0</v>
      </c>
      <c r="L87" s="556">
        <v>0</v>
      </c>
      <c r="M87" s="556">
        <v>159</v>
      </c>
      <c r="N87" s="14"/>
    </row>
    <row r="88" spans="1:14" x14ac:dyDescent="0.25">
      <c r="A88" s="1134"/>
      <c r="B88" s="70" t="s">
        <v>152</v>
      </c>
      <c r="C88" s="30" t="s">
        <v>548</v>
      </c>
      <c r="D88" s="555">
        <f t="shared" si="9"/>
        <v>326</v>
      </c>
      <c r="E88" s="555">
        <f t="shared" si="10"/>
        <v>292</v>
      </c>
      <c r="F88" s="555">
        <v>151</v>
      </c>
      <c r="G88" s="555">
        <v>106</v>
      </c>
      <c r="H88" s="555"/>
      <c r="I88" s="555">
        <v>35</v>
      </c>
      <c r="J88" s="555">
        <f t="shared" si="11"/>
        <v>34</v>
      </c>
      <c r="K88" s="556"/>
      <c r="L88" s="556"/>
      <c r="M88" s="556">
        <v>34</v>
      </c>
      <c r="N88" s="14"/>
    </row>
    <row r="89" spans="1:14" x14ac:dyDescent="0.25">
      <c r="A89" s="588">
        <v>70</v>
      </c>
      <c r="B89" s="70" t="s">
        <v>194</v>
      </c>
      <c r="C89" s="30" t="s">
        <v>195</v>
      </c>
      <c r="D89" s="555">
        <f t="shared" si="9"/>
        <v>27213</v>
      </c>
      <c r="E89" s="555">
        <f t="shared" si="10"/>
        <v>25989</v>
      </c>
      <c r="F89" s="555">
        <v>14382</v>
      </c>
      <c r="G89" s="555">
        <v>11466</v>
      </c>
      <c r="H89" s="555">
        <v>141</v>
      </c>
      <c r="I89" s="555">
        <v>0</v>
      </c>
      <c r="J89" s="555">
        <f t="shared" si="11"/>
        <v>1224</v>
      </c>
      <c r="K89" s="556">
        <v>192</v>
      </c>
      <c r="L89" s="556">
        <v>1032</v>
      </c>
      <c r="M89" s="556">
        <v>0</v>
      </c>
      <c r="N89" s="14"/>
    </row>
    <row r="90" spans="1:14" x14ac:dyDescent="0.25">
      <c r="A90" s="588">
        <v>71</v>
      </c>
      <c r="B90" s="70" t="s">
        <v>196</v>
      </c>
      <c r="C90" s="30" t="s">
        <v>197</v>
      </c>
      <c r="D90" s="555">
        <f t="shared" si="9"/>
        <v>650</v>
      </c>
      <c r="E90" s="555">
        <f t="shared" si="10"/>
        <v>650</v>
      </c>
      <c r="F90" s="555">
        <v>0</v>
      </c>
      <c r="G90" s="555">
        <v>0</v>
      </c>
      <c r="H90" s="555">
        <v>650</v>
      </c>
      <c r="I90" s="555">
        <v>0</v>
      </c>
      <c r="J90" s="555">
        <f t="shared" si="11"/>
        <v>0</v>
      </c>
      <c r="K90" s="556">
        <v>0</v>
      </c>
      <c r="L90" s="556">
        <v>0</v>
      </c>
      <c r="M90" s="556">
        <v>0</v>
      </c>
      <c r="N90" s="14"/>
    </row>
    <row r="91" spans="1:14" x14ac:dyDescent="0.25">
      <c r="A91" s="588">
        <v>72</v>
      </c>
      <c r="B91" s="71" t="s">
        <v>30</v>
      </c>
      <c r="C91" s="30" t="s">
        <v>198</v>
      </c>
      <c r="D91" s="555">
        <f t="shared" si="9"/>
        <v>0</v>
      </c>
      <c r="E91" s="555">
        <f t="shared" si="10"/>
        <v>0</v>
      </c>
      <c r="F91" s="555">
        <v>0</v>
      </c>
      <c r="G91" s="555">
        <v>0</v>
      </c>
      <c r="H91" s="555">
        <v>0</v>
      </c>
      <c r="I91" s="555">
        <v>0</v>
      </c>
      <c r="J91" s="555">
        <f t="shared" si="11"/>
        <v>0</v>
      </c>
      <c r="K91" s="556">
        <v>0</v>
      </c>
      <c r="L91" s="556">
        <v>0</v>
      </c>
      <c r="M91" s="556">
        <v>0</v>
      </c>
      <c r="N91" s="14"/>
    </row>
    <row r="92" spans="1:14" x14ac:dyDescent="0.25">
      <c r="A92" s="1132">
        <v>73</v>
      </c>
      <c r="B92" s="1135" t="s">
        <v>199</v>
      </c>
      <c r="C92" s="144" t="s">
        <v>200</v>
      </c>
      <c r="D92" s="555">
        <f t="shared" si="9"/>
        <v>74</v>
      </c>
      <c r="E92" s="555">
        <f t="shared" si="10"/>
        <v>74</v>
      </c>
      <c r="F92" s="555">
        <v>15</v>
      </c>
      <c r="G92" s="555">
        <v>59</v>
      </c>
      <c r="H92" s="555">
        <v>0</v>
      </c>
      <c r="I92" s="555">
        <v>0</v>
      </c>
      <c r="J92" s="555">
        <f t="shared" si="11"/>
        <v>0</v>
      </c>
      <c r="K92" s="556">
        <v>0</v>
      </c>
      <c r="L92" s="556">
        <v>0</v>
      </c>
      <c r="M92" s="556">
        <v>0</v>
      </c>
      <c r="N92" s="14"/>
    </row>
    <row r="93" spans="1:14" ht="24" x14ac:dyDescent="0.25">
      <c r="A93" s="1133"/>
      <c r="B93" s="1136"/>
      <c r="C93" s="30" t="s">
        <v>201</v>
      </c>
      <c r="D93" s="555">
        <f t="shared" si="9"/>
        <v>74</v>
      </c>
      <c r="E93" s="555">
        <f t="shared" si="10"/>
        <v>74</v>
      </c>
      <c r="F93" s="555">
        <v>15</v>
      </c>
      <c r="G93" s="555">
        <v>59</v>
      </c>
      <c r="H93" s="555">
        <v>0</v>
      </c>
      <c r="I93" s="555">
        <v>0</v>
      </c>
      <c r="J93" s="555">
        <f t="shared" ref="J93" si="12">K93+L93+M93</f>
        <v>0</v>
      </c>
      <c r="K93" s="556">
        <v>0</v>
      </c>
      <c r="L93" s="556">
        <v>0</v>
      </c>
      <c r="M93" s="556">
        <v>0</v>
      </c>
      <c r="N93" s="14"/>
    </row>
    <row r="94" spans="1:14" x14ac:dyDescent="0.25">
      <c r="A94" s="1133"/>
      <c r="B94" s="1136"/>
      <c r="C94" s="30" t="s">
        <v>202</v>
      </c>
      <c r="D94" s="555">
        <v>0</v>
      </c>
      <c r="E94" s="555">
        <f t="shared" si="10"/>
        <v>0</v>
      </c>
      <c r="F94" s="555">
        <v>0</v>
      </c>
      <c r="G94" s="555">
        <v>0</v>
      </c>
      <c r="H94" s="555">
        <v>0</v>
      </c>
      <c r="I94" s="555">
        <v>0</v>
      </c>
      <c r="J94" s="555">
        <v>0</v>
      </c>
      <c r="K94" s="555">
        <v>0</v>
      </c>
      <c r="L94" s="556">
        <v>0</v>
      </c>
      <c r="M94" s="556">
        <v>0</v>
      </c>
      <c r="N94" s="14"/>
    </row>
    <row r="95" spans="1:14" ht="24" x14ac:dyDescent="0.25">
      <c r="A95" s="1134"/>
      <c r="B95" s="1137"/>
      <c r="C95" s="118" t="s">
        <v>203</v>
      </c>
      <c r="D95" s="555">
        <v>0</v>
      </c>
      <c r="E95" s="555">
        <f t="shared" si="10"/>
        <v>0</v>
      </c>
      <c r="F95" s="555">
        <v>0</v>
      </c>
      <c r="G95" s="555">
        <v>0</v>
      </c>
      <c r="H95" s="555">
        <v>0</v>
      </c>
      <c r="I95" s="555">
        <v>0</v>
      </c>
      <c r="J95" s="555">
        <v>0</v>
      </c>
      <c r="K95" s="555">
        <v>0</v>
      </c>
      <c r="L95" s="556">
        <v>0</v>
      </c>
      <c r="M95" s="556">
        <v>0</v>
      </c>
      <c r="N95" s="14"/>
    </row>
    <row r="96" spans="1:14" x14ac:dyDescent="0.25">
      <c r="A96" s="588">
        <v>74</v>
      </c>
      <c r="B96" s="71" t="s">
        <v>204</v>
      </c>
      <c r="C96" s="30" t="s">
        <v>205</v>
      </c>
      <c r="D96" s="555">
        <f t="shared" ref="D96:D124" si="13">E96+J96</f>
        <v>0</v>
      </c>
      <c r="E96" s="555">
        <f t="shared" si="10"/>
        <v>0</v>
      </c>
      <c r="F96" s="555">
        <v>0</v>
      </c>
      <c r="G96" s="555">
        <v>0</v>
      </c>
      <c r="H96" s="555">
        <v>0</v>
      </c>
      <c r="I96" s="555">
        <v>0</v>
      </c>
      <c r="J96" s="555">
        <f t="shared" si="11"/>
        <v>0</v>
      </c>
      <c r="K96" s="556">
        <v>0</v>
      </c>
      <c r="L96" s="556">
        <v>0</v>
      </c>
      <c r="M96" s="556">
        <v>0</v>
      </c>
      <c r="N96" s="14"/>
    </row>
    <row r="97" spans="1:14" x14ac:dyDescent="0.25">
      <c r="A97" s="588">
        <v>75</v>
      </c>
      <c r="B97" s="71" t="s">
        <v>206</v>
      </c>
      <c r="C97" s="30" t="s">
        <v>207</v>
      </c>
      <c r="D97" s="555">
        <f t="shared" si="13"/>
        <v>1053</v>
      </c>
      <c r="E97" s="555">
        <f t="shared" si="10"/>
        <v>1053</v>
      </c>
      <c r="F97" s="555">
        <v>562</v>
      </c>
      <c r="G97" s="555">
        <v>491</v>
      </c>
      <c r="H97" s="555">
        <v>0</v>
      </c>
      <c r="I97" s="555">
        <v>0</v>
      </c>
      <c r="J97" s="555">
        <f t="shared" si="11"/>
        <v>0</v>
      </c>
      <c r="K97" s="556">
        <v>0</v>
      </c>
      <c r="L97" s="556">
        <v>0</v>
      </c>
      <c r="M97" s="556">
        <v>0</v>
      </c>
      <c r="N97" s="14"/>
    </row>
    <row r="98" spans="1:14" x14ac:dyDescent="0.25">
      <c r="A98" s="588">
        <v>76</v>
      </c>
      <c r="B98" s="604" t="s">
        <v>208</v>
      </c>
      <c r="C98" s="30" t="s">
        <v>209</v>
      </c>
      <c r="D98" s="555">
        <f t="shared" si="13"/>
        <v>7624</v>
      </c>
      <c r="E98" s="555">
        <f t="shared" si="10"/>
        <v>7624</v>
      </c>
      <c r="F98" s="555">
        <v>4463</v>
      </c>
      <c r="G98" s="555">
        <v>3011</v>
      </c>
      <c r="H98" s="555">
        <v>150</v>
      </c>
      <c r="I98" s="555">
        <v>0</v>
      </c>
      <c r="J98" s="555">
        <f t="shared" si="11"/>
        <v>0</v>
      </c>
      <c r="K98" s="556">
        <v>0</v>
      </c>
      <c r="L98" s="556">
        <v>0</v>
      </c>
      <c r="M98" s="556">
        <v>0</v>
      </c>
      <c r="N98" s="14"/>
    </row>
    <row r="99" spans="1:14" x14ac:dyDescent="0.25">
      <c r="A99" s="588">
        <v>77</v>
      </c>
      <c r="B99" s="71" t="s">
        <v>210</v>
      </c>
      <c r="C99" s="30" t="s">
        <v>211</v>
      </c>
      <c r="D99" s="555">
        <f t="shared" si="13"/>
        <v>3154</v>
      </c>
      <c r="E99" s="555">
        <f t="shared" si="10"/>
        <v>3145</v>
      </c>
      <c r="F99" s="555">
        <v>1687</v>
      </c>
      <c r="G99" s="555">
        <v>1412</v>
      </c>
      <c r="H99" s="555">
        <v>46</v>
      </c>
      <c r="I99" s="555">
        <v>0</v>
      </c>
      <c r="J99" s="555">
        <f t="shared" si="11"/>
        <v>9</v>
      </c>
      <c r="K99" s="556">
        <v>0</v>
      </c>
      <c r="L99" s="556">
        <v>0</v>
      </c>
      <c r="M99" s="556">
        <v>9</v>
      </c>
      <c r="N99" s="14"/>
    </row>
    <row r="100" spans="1:14" x14ac:dyDescent="0.25">
      <c r="A100" s="588">
        <v>78</v>
      </c>
      <c r="B100" s="604" t="s">
        <v>212</v>
      </c>
      <c r="C100" s="30" t="s">
        <v>213</v>
      </c>
      <c r="D100" s="555">
        <f t="shared" si="13"/>
        <v>3584</v>
      </c>
      <c r="E100" s="555">
        <f t="shared" si="10"/>
        <v>3578</v>
      </c>
      <c r="F100" s="555">
        <v>2026</v>
      </c>
      <c r="G100" s="555">
        <v>1499</v>
      </c>
      <c r="H100" s="555">
        <v>53</v>
      </c>
      <c r="I100" s="555">
        <v>0</v>
      </c>
      <c r="J100" s="555">
        <f t="shared" si="11"/>
        <v>6</v>
      </c>
      <c r="K100" s="556">
        <v>0</v>
      </c>
      <c r="L100" s="556">
        <v>0</v>
      </c>
      <c r="M100" s="556">
        <v>6</v>
      </c>
      <c r="N100" s="14"/>
    </row>
    <row r="101" spans="1:14" x14ac:dyDescent="0.25">
      <c r="A101" s="588">
        <v>79</v>
      </c>
      <c r="B101" s="604" t="s">
        <v>214</v>
      </c>
      <c r="C101" s="30" t="s">
        <v>215</v>
      </c>
      <c r="D101" s="555">
        <f t="shared" si="13"/>
        <v>9056</v>
      </c>
      <c r="E101" s="555">
        <f t="shared" si="10"/>
        <v>8524</v>
      </c>
      <c r="F101" s="555">
        <v>4611</v>
      </c>
      <c r="G101" s="555">
        <v>3742</v>
      </c>
      <c r="H101" s="555">
        <v>170</v>
      </c>
      <c r="I101" s="555">
        <v>1</v>
      </c>
      <c r="J101" s="555">
        <f t="shared" si="11"/>
        <v>532</v>
      </c>
      <c r="K101" s="556">
        <v>68</v>
      </c>
      <c r="L101" s="556">
        <v>437</v>
      </c>
      <c r="M101" s="556">
        <v>27</v>
      </c>
      <c r="N101" s="14"/>
    </row>
    <row r="102" spans="1:14" x14ac:dyDescent="0.25">
      <c r="A102" s="588">
        <v>80</v>
      </c>
      <c r="B102" s="71" t="s">
        <v>216</v>
      </c>
      <c r="C102" s="30" t="s">
        <v>217</v>
      </c>
      <c r="D102" s="555">
        <f t="shared" si="13"/>
        <v>4452</v>
      </c>
      <c r="E102" s="555">
        <f t="shared" si="10"/>
        <v>4448</v>
      </c>
      <c r="F102" s="555">
        <v>2526</v>
      </c>
      <c r="G102" s="555">
        <v>1852</v>
      </c>
      <c r="H102" s="555">
        <v>70</v>
      </c>
      <c r="I102" s="555">
        <v>0</v>
      </c>
      <c r="J102" s="555">
        <f t="shared" si="11"/>
        <v>4</v>
      </c>
      <c r="K102" s="556">
        <v>0</v>
      </c>
      <c r="L102" s="556">
        <v>0</v>
      </c>
      <c r="M102" s="556">
        <v>4</v>
      </c>
      <c r="N102" s="14"/>
    </row>
    <row r="103" spans="1:14" x14ac:dyDescent="0.25">
      <c r="A103" s="588">
        <v>81</v>
      </c>
      <c r="B103" s="70" t="s">
        <v>218</v>
      </c>
      <c r="C103" s="30" t="s">
        <v>219</v>
      </c>
      <c r="D103" s="555">
        <f t="shared" si="13"/>
        <v>10038</v>
      </c>
      <c r="E103" s="555">
        <f t="shared" si="10"/>
        <v>9470</v>
      </c>
      <c r="F103" s="555">
        <v>5264</v>
      </c>
      <c r="G103" s="555">
        <v>3919</v>
      </c>
      <c r="H103" s="555">
        <v>287</v>
      </c>
      <c r="I103" s="555">
        <v>0</v>
      </c>
      <c r="J103" s="555">
        <f t="shared" si="11"/>
        <v>568</v>
      </c>
      <c r="K103" s="556">
        <v>74</v>
      </c>
      <c r="L103" s="556">
        <v>458</v>
      </c>
      <c r="M103" s="556">
        <v>36</v>
      </c>
      <c r="N103" s="14"/>
    </row>
    <row r="104" spans="1:14" x14ac:dyDescent="0.25">
      <c r="A104" s="588">
        <v>82</v>
      </c>
      <c r="B104" s="70" t="s">
        <v>220</v>
      </c>
      <c r="C104" s="30" t="s">
        <v>221</v>
      </c>
      <c r="D104" s="555">
        <f t="shared" si="13"/>
        <v>8794</v>
      </c>
      <c r="E104" s="555">
        <f t="shared" si="10"/>
        <v>7905</v>
      </c>
      <c r="F104" s="555">
        <v>4523</v>
      </c>
      <c r="G104" s="555">
        <v>3241</v>
      </c>
      <c r="H104" s="555">
        <v>141</v>
      </c>
      <c r="I104" s="555">
        <v>0</v>
      </c>
      <c r="J104" s="555">
        <f t="shared" si="11"/>
        <v>889</v>
      </c>
      <c r="K104" s="556">
        <v>105</v>
      </c>
      <c r="L104" s="556">
        <v>759</v>
      </c>
      <c r="M104" s="556">
        <v>25</v>
      </c>
      <c r="N104" s="14"/>
    </row>
    <row r="105" spans="1:14" x14ac:dyDescent="0.25">
      <c r="A105" s="588">
        <v>83</v>
      </c>
      <c r="B105" s="604" t="s">
        <v>222</v>
      </c>
      <c r="C105" s="30" t="s">
        <v>223</v>
      </c>
      <c r="D105" s="555">
        <f t="shared" si="13"/>
        <v>4340</v>
      </c>
      <c r="E105" s="555">
        <f t="shared" si="10"/>
        <v>3934</v>
      </c>
      <c r="F105" s="555">
        <v>2487</v>
      </c>
      <c r="G105" s="555">
        <v>1399</v>
      </c>
      <c r="H105" s="555">
        <v>48</v>
      </c>
      <c r="I105" s="555">
        <v>0</v>
      </c>
      <c r="J105" s="555">
        <f t="shared" si="11"/>
        <v>406</v>
      </c>
      <c r="K105" s="556">
        <v>34</v>
      </c>
      <c r="L105" s="556">
        <v>359</v>
      </c>
      <c r="M105" s="556">
        <v>13</v>
      </c>
      <c r="N105" s="14"/>
    </row>
    <row r="106" spans="1:14" x14ac:dyDescent="0.25">
      <c r="A106" s="588">
        <v>84</v>
      </c>
      <c r="B106" s="70" t="s">
        <v>224</v>
      </c>
      <c r="C106" s="30" t="s">
        <v>225</v>
      </c>
      <c r="D106" s="555">
        <f t="shared" si="13"/>
        <v>5170</v>
      </c>
      <c r="E106" s="555">
        <f t="shared" si="10"/>
        <v>5158</v>
      </c>
      <c r="F106" s="555">
        <v>2594</v>
      </c>
      <c r="G106" s="555">
        <v>2488</v>
      </c>
      <c r="H106" s="555">
        <v>76</v>
      </c>
      <c r="I106" s="555">
        <v>0</v>
      </c>
      <c r="J106" s="555">
        <f t="shared" si="11"/>
        <v>12</v>
      </c>
      <c r="K106" s="556">
        <v>0</v>
      </c>
      <c r="L106" s="556">
        <v>0</v>
      </c>
      <c r="M106" s="556">
        <v>12</v>
      </c>
      <c r="N106" s="14"/>
    </row>
    <row r="107" spans="1:14" x14ac:dyDescent="0.25">
      <c r="A107" s="588">
        <v>85</v>
      </c>
      <c r="B107" s="70" t="s">
        <v>226</v>
      </c>
      <c r="C107" s="30" t="s">
        <v>227</v>
      </c>
      <c r="D107" s="555">
        <f t="shared" si="13"/>
        <v>4565</v>
      </c>
      <c r="E107" s="555">
        <f t="shared" si="10"/>
        <v>4559</v>
      </c>
      <c r="F107" s="555">
        <v>2474</v>
      </c>
      <c r="G107" s="555">
        <v>2018</v>
      </c>
      <c r="H107" s="555">
        <v>67</v>
      </c>
      <c r="I107" s="555">
        <v>0</v>
      </c>
      <c r="J107" s="555">
        <f t="shared" si="11"/>
        <v>6</v>
      </c>
      <c r="K107" s="556">
        <v>0</v>
      </c>
      <c r="L107" s="556">
        <v>0</v>
      </c>
      <c r="M107" s="556">
        <v>6</v>
      </c>
      <c r="N107" s="14"/>
    </row>
    <row r="108" spans="1:14" x14ac:dyDescent="0.25">
      <c r="A108" s="588">
        <v>86</v>
      </c>
      <c r="B108" s="71" t="s">
        <v>32</v>
      </c>
      <c r="C108" s="30" t="s">
        <v>33</v>
      </c>
      <c r="D108" s="555">
        <f t="shared" si="13"/>
        <v>6000</v>
      </c>
      <c r="E108" s="555">
        <f t="shared" si="10"/>
        <v>5316</v>
      </c>
      <c r="F108" s="555">
        <v>2960</v>
      </c>
      <c r="G108" s="555">
        <v>2223</v>
      </c>
      <c r="H108" s="555">
        <v>133</v>
      </c>
      <c r="I108" s="555">
        <v>0</v>
      </c>
      <c r="J108" s="555">
        <f t="shared" si="11"/>
        <v>684</v>
      </c>
      <c r="K108" s="556">
        <v>82</v>
      </c>
      <c r="L108" s="556">
        <v>589</v>
      </c>
      <c r="M108" s="556">
        <v>13</v>
      </c>
      <c r="N108" s="14"/>
    </row>
    <row r="109" spans="1:14" x14ac:dyDescent="0.25">
      <c r="A109" s="588">
        <v>87</v>
      </c>
      <c r="B109" s="604" t="s">
        <v>228</v>
      </c>
      <c r="C109" s="30" t="s">
        <v>229</v>
      </c>
      <c r="D109" s="555">
        <f t="shared" si="13"/>
        <v>3829</v>
      </c>
      <c r="E109" s="555">
        <f t="shared" si="10"/>
        <v>3819</v>
      </c>
      <c r="F109" s="555">
        <v>2420</v>
      </c>
      <c r="G109" s="555">
        <v>1340</v>
      </c>
      <c r="H109" s="555">
        <v>59</v>
      </c>
      <c r="I109" s="555">
        <v>0</v>
      </c>
      <c r="J109" s="555">
        <f t="shared" si="11"/>
        <v>10</v>
      </c>
      <c r="K109" s="556">
        <v>0</v>
      </c>
      <c r="L109" s="556">
        <v>0</v>
      </c>
      <c r="M109" s="556">
        <v>10</v>
      </c>
      <c r="N109" s="14"/>
    </row>
    <row r="110" spans="1:14" x14ac:dyDescent="0.25">
      <c r="A110" s="588">
        <v>88</v>
      </c>
      <c r="B110" s="70" t="s">
        <v>230</v>
      </c>
      <c r="C110" s="30" t="s">
        <v>231</v>
      </c>
      <c r="D110" s="555">
        <f t="shared" si="13"/>
        <v>8327</v>
      </c>
      <c r="E110" s="555">
        <f t="shared" si="10"/>
        <v>7703</v>
      </c>
      <c r="F110" s="555">
        <v>3624</v>
      </c>
      <c r="G110" s="555">
        <v>3952</v>
      </c>
      <c r="H110" s="555">
        <v>127</v>
      </c>
      <c r="I110" s="555">
        <v>0</v>
      </c>
      <c r="J110" s="555">
        <f t="shared" si="11"/>
        <v>624</v>
      </c>
      <c r="K110" s="556">
        <v>64</v>
      </c>
      <c r="L110" s="556">
        <v>543</v>
      </c>
      <c r="M110" s="556">
        <v>17</v>
      </c>
      <c r="N110" s="14"/>
    </row>
    <row r="111" spans="1:14" x14ac:dyDescent="0.25">
      <c r="A111" s="588">
        <v>89</v>
      </c>
      <c r="B111" s="70" t="s">
        <v>232</v>
      </c>
      <c r="C111" s="30" t="s">
        <v>233</v>
      </c>
      <c r="D111" s="555">
        <f t="shared" si="13"/>
        <v>0</v>
      </c>
      <c r="E111" s="555">
        <f t="shared" si="10"/>
        <v>0</v>
      </c>
      <c r="F111" s="555">
        <v>0</v>
      </c>
      <c r="G111" s="555">
        <v>0</v>
      </c>
      <c r="H111" s="555">
        <v>0</v>
      </c>
      <c r="I111" s="555">
        <v>0</v>
      </c>
      <c r="J111" s="555">
        <f t="shared" si="11"/>
        <v>0</v>
      </c>
      <c r="K111" s="556">
        <v>0</v>
      </c>
      <c r="L111" s="556">
        <v>0</v>
      </c>
      <c r="M111" s="556">
        <v>0</v>
      </c>
      <c r="N111" s="14"/>
    </row>
    <row r="112" spans="1:14" x14ac:dyDescent="0.25">
      <c r="A112" s="588">
        <v>90</v>
      </c>
      <c r="B112" s="70" t="s">
        <v>234</v>
      </c>
      <c r="C112" s="30" t="s">
        <v>235</v>
      </c>
      <c r="D112" s="555">
        <f t="shared" si="13"/>
        <v>0</v>
      </c>
      <c r="E112" s="555">
        <f t="shared" si="10"/>
        <v>0</v>
      </c>
      <c r="F112" s="555">
        <v>0</v>
      </c>
      <c r="G112" s="555">
        <v>0</v>
      </c>
      <c r="H112" s="555">
        <v>0</v>
      </c>
      <c r="I112" s="555">
        <v>0</v>
      </c>
      <c r="J112" s="555">
        <f t="shared" si="11"/>
        <v>0</v>
      </c>
      <c r="K112" s="556">
        <v>0</v>
      </c>
      <c r="L112" s="556">
        <v>0</v>
      </c>
      <c r="M112" s="556">
        <v>0</v>
      </c>
      <c r="N112" s="14"/>
    </row>
    <row r="113" spans="1:14" x14ac:dyDescent="0.25">
      <c r="A113" s="588">
        <v>91</v>
      </c>
      <c r="B113" s="604" t="s">
        <v>236</v>
      </c>
      <c r="C113" s="30" t="s">
        <v>237</v>
      </c>
      <c r="D113" s="555">
        <f t="shared" si="13"/>
        <v>0</v>
      </c>
      <c r="E113" s="555">
        <f t="shared" si="10"/>
        <v>0</v>
      </c>
      <c r="F113" s="555">
        <v>0</v>
      </c>
      <c r="G113" s="555">
        <v>0</v>
      </c>
      <c r="H113" s="555">
        <v>0</v>
      </c>
      <c r="I113" s="555">
        <v>0</v>
      </c>
      <c r="J113" s="555">
        <f t="shared" si="11"/>
        <v>0</v>
      </c>
      <c r="K113" s="556">
        <v>0</v>
      </c>
      <c r="L113" s="556">
        <v>0</v>
      </c>
      <c r="M113" s="556">
        <v>0</v>
      </c>
      <c r="N113" s="14"/>
    </row>
    <row r="114" spans="1:14" x14ac:dyDescent="0.25">
      <c r="A114" s="588">
        <v>92</v>
      </c>
      <c r="B114" s="604" t="s">
        <v>238</v>
      </c>
      <c r="C114" s="30" t="s">
        <v>239</v>
      </c>
      <c r="D114" s="555">
        <f t="shared" si="13"/>
        <v>0</v>
      </c>
      <c r="E114" s="555">
        <f t="shared" si="10"/>
        <v>0</v>
      </c>
      <c r="F114" s="555">
        <v>0</v>
      </c>
      <c r="G114" s="555">
        <v>0</v>
      </c>
      <c r="H114" s="555">
        <v>0</v>
      </c>
      <c r="I114" s="555">
        <v>0</v>
      </c>
      <c r="J114" s="555">
        <f t="shared" si="11"/>
        <v>0</v>
      </c>
      <c r="K114" s="556">
        <v>0</v>
      </c>
      <c r="L114" s="556">
        <v>0</v>
      </c>
      <c r="M114" s="556">
        <v>0</v>
      </c>
      <c r="N114" s="14"/>
    </row>
    <row r="115" spans="1:14" x14ac:dyDescent="0.25">
      <c r="A115" s="588">
        <v>93</v>
      </c>
      <c r="B115" s="604" t="s">
        <v>240</v>
      </c>
      <c r="C115" s="30" t="s">
        <v>241</v>
      </c>
      <c r="D115" s="555">
        <f t="shared" si="13"/>
        <v>0</v>
      </c>
      <c r="E115" s="555">
        <f t="shared" si="10"/>
        <v>0</v>
      </c>
      <c r="F115" s="555">
        <v>0</v>
      </c>
      <c r="G115" s="555">
        <v>0</v>
      </c>
      <c r="H115" s="555">
        <v>0</v>
      </c>
      <c r="I115" s="555">
        <v>0</v>
      </c>
      <c r="J115" s="555">
        <f t="shared" si="11"/>
        <v>0</v>
      </c>
      <c r="K115" s="556">
        <v>0</v>
      </c>
      <c r="L115" s="556">
        <v>0</v>
      </c>
      <c r="M115" s="556">
        <v>0</v>
      </c>
      <c r="N115" s="14"/>
    </row>
    <row r="116" spans="1:14" x14ac:dyDescent="0.25">
      <c r="A116" s="588">
        <v>94</v>
      </c>
      <c r="B116" s="604" t="s">
        <v>242</v>
      </c>
      <c r="C116" s="30" t="s">
        <v>243</v>
      </c>
      <c r="D116" s="555">
        <f t="shared" si="13"/>
        <v>0</v>
      </c>
      <c r="E116" s="555">
        <f t="shared" si="10"/>
        <v>0</v>
      </c>
      <c r="F116" s="555">
        <v>0</v>
      </c>
      <c r="G116" s="555">
        <v>0</v>
      </c>
      <c r="H116" s="555">
        <v>0</v>
      </c>
      <c r="I116" s="555">
        <v>0</v>
      </c>
      <c r="J116" s="555">
        <f t="shared" si="11"/>
        <v>0</v>
      </c>
      <c r="K116" s="556">
        <v>0</v>
      </c>
      <c r="L116" s="556">
        <v>0</v>
      </c>
      <c r="M116" s="556">
        <v>0</v>
      </c>
      <c r="N116" s="14"/>
    </row>
    <row r="117" spans="1:14" x14ac:dyDescent="0.25">
      <c r="A117" s="588">
        <v>95</v>
      </c>
      <c r="B117" s="604" t="s">
        <v>244</v>
      </c>
      <c r="C117" s="30" t="s">
        <v>245</v>
      </c>
      <c r="D117" s="555">
        <f t="shared" si="13"/>
        <v>0</v>
      </c>
      <c r="E117" s="555">
        <f t="shared" si="10"/>
        <v>0</v>
      </c>
      <c r="F117" s="555">
        <v>0</v>
      </c>
      <c r="G117" s="555">
        <v>0</v>
      </c>
      <c r="H117" s="555">
        <v>0</v>
      </c>
      <c r="I117" s="555">
        <v>0</v>
      </c>
      <c r="J117" s="555">
        <f t="shared" si="11"/>
        <v>0</v>
      </c>
      <c r="K117" s="556">
        <v>0</v>
      </c>
      <c r="L117" s="556">
        <v>0</v>
      </c>
      <c r="M117" s="556">
        <v>0</v>
      </c>
      <c r="N117" s="14"/>
    </row>
    <row r="118" spans="1:14" x14ac:dyDescent="0.25">
      <c r="A118" s="588">
        <v>96</v>
      </c>
      <c r="B118" s="591" t="s">
        <v>246</v>
      </c>
      <c r="C118" s="590" t="s">
        <v>247</v>
      </c>
      <c r="D118" s="555">
        <f t="shared" si="13"/>
        <v>0</v>
      </c>
      <c r="E118" s="555">
        <f t="shared" si="10"/>
        <v>0</v>
      </c>
      <c r="F118" s="555">
        <v>0</v>
      </c>
      <c r="G118" s="555">
        <v>0</v>
      </c>
      <c r="H118" s="555">
        <v>0</v>
      </c>
      <c r="I118" s="555">
        <v>0</v>
      </c>
      <c r="J118" s="555">
        <f t="shared" si="11"/>
        <v>0</v>
      </c>
      <c r="K118" s="556">
        <v>0</v>
      </c>
      <c r="L118" s="556">
        <v>0</v>
      </c>
      <c r="M118" s="556">
        <v>0</v>
      </c>
      <c r="N118" s="14"/>
    </row>
    <row r="119" spans="1:14" x14ac:dyDescent="0.25">
      <c r="A119" s="588">
        <v>97</v>
      </c>
      <c r="B119" s="71" t="s">
        <v>248</v>
      </c>
      <c r="C119" s="30" t="s">
        <v>249</v>
      </c>
      <c r="D119" s="555">
        <f t="shared" si="13"/>
        <v>0</v>
      </c>
      <c r="E119" s="555">
        <f t="shared" si="10"/>
        <v>0</v>
      </c>
      <c r="F119" s="555">
        <v>0</v>
      </c>
      <c r="G119" s="555">
        <v>0</v>
      </c>
      <c r="H119" s="555">
        <v>0</v>
      </c>
      <c r="I119" s="555">
        <v>0</v>
      </c>
      <c r="J119" s="555">
        <f t="shared" si="11"/>
        <v>0</v>
      </c>
      <c r="K119" s="556">
        <v>0</v>
      </c>
      <c r="L119" s="556">
        <v>0</v>
      </c>
      <c r="M119" s="556">
        <v>0</v>
      </c>
      <c r="N119" s="14"/>
    </row>
    <row r="120" spans="1:14" x14ac:dyDescent="0.25">
      <c r="A120" s="588">
        <v>98</v>
      </c>
      <c r="B120" s="604" t="s">
        <v>250</v>
      </c>
      <c r="C120" s="30" t="s">
        <v>251</v>
      </c>
      <c r="D120" s="555">
        <f t="shared" si="13"/>
        <v>0</v>
      </c>
      <c r="E120" s="555">
        <f t="shared" si="10"/>
        <v>0</v>
      </c>
      <c r="F120" s="555">
        <v>0</v>
      </c>
      <c r="G120" s="555">
        <v>0</v>
      </c>
      <c r="H120" s="555">
        <v>0</v>
      </c>
      <c r="I120" s="555">
        <v>0</v>
      </c>
      <c r="J120" s="555">
        <f t="shared" si="11"/>
        <v>0</v>
      </c>
      <c r="K120" s="556">
        <v>0</v>
      </c>
      <c r="L120" s="556">
        <v>0</v>
      </c>
      <c r="M120" s="556">
        <v>0</v>
      </c>
      <c r="N120" s="14"/>
    </row>
    <row r="121" spans="1:14" x14ac:dyDescent="0.25">
      <c r="A121" s="588">
        <v>99</v>
      </c>
      <c r="B121" s="70" t="s">
        <v>252</v>
      </c>
      <c r="C121" s="119" t="s">
        <v>253</v>
      </c>
      <c r="D121" s="555">
        <f t="shared" si="13"/>
        <v>0</v>
      </c>
      <c r="E121" s="555">
        <f t="shared" si="10"/>
        <v>0</v>
      </c>
      <c r="F121" s="555">
        <v>0</v>
      </c>
      <c r="G121" s="555">
        <v>0</v>
      </c>
      <c r="H121" s="555">
        <v>0</v>
      </c>
      <c r="I121" s="555">
        <v>0</v>
      </c>
      <c r="J121" s="555">
        <f t="shared" si="11"/>
        <v>0</v>
      </c>
      <c r="K121" s="556">
        <v>0</v>
      </c>
      <c r="L121" s="556">
        <v>0</v>
      </c>
      <c r="M121" s="556">
        <v>0</v>
      </c>
      <c r="N121" s="14"/>
    </row>
    <row r="122" spans="1:14" x14ac:dyDescent="0.25">
      <c r="A122" s="588">
        <v>100</v>
      </c>
      <c r="B122" s="604" t="s">
        <v>254</v>
      </c>
      <c r="C122" s="30" t="s">
        <v>255</v>
      </c>
      <c r="D122" s="555">
        <f t="shared" si="13"/>
        <v>0</v>
      </c>
      <c r="E122" s="555">
        <f t="shared" si="10"/>
        <v>0</v>
      </c>
      <c r="F122" s="555">
        <v>0</v>
      </c>
      <c r="G122" s="555">
        <v>0</v>
      </c>
      <c r="H122" s="555">
        <v>0</v>
      </c>
      <c r="I122" s="555">
        <v>0</v>
      </c>
      <c r="J122" s="555">
        <f t="shared" si="11"/>
        <v>0</v>
      </c>
      <c r="K122" s="556">
        <v>0</v>
      </c>
      <c r="L122" s="556">
        <v>0</v>
      </c>
      <c r="M122" s="556">
        <v>0</v>
      </c>
      <c r="N122" s="14"/>
    </row>
    <row r="123" spans="1:14" x14ac:dyDescent="0.25">
      <c r="A123" s="588">
        <v>101</v>
      </c>
      <c r="B123" s="71" t="s">
        <v>256</v>
      </c>
      <c r="C123" s="30" t="s">
        <v>257</v>
      </c>
      <c r="D123" s="555">
        <f t="shared" si="13"/>
        <v>0</v>
      </c>
      <c r="E123" s="555">
        <f t="shared" si="10"/>
        <v>0</v>
      </c>
      <c r="F123" s="555">
        <v>0</v>
      </c>
      <c r="G123" s="555">
        <v>0</v>
      </c>
      <c r="H123" s="555">
        <v>0</v>
      </c>
      <c r="I123" s="555">
        <v>0</v>
      </c>
      <c r="J123" s="555">
        <f t="shared" si="11"/>
        <v>0</v>
      </c>
      <c r="K123" s="556">
        <v>0</v>
      </c>
      <c r="L123" s="556">
        <v>0</v>
      </c>
      <c r="M123" s="556">
        <v>0</v>
      </c>
      <c r="N123" s="14"/>
    </row>
    <row r="124" spans="1:14" x14ac:dyDescent="0.25">
      <c r="A124" s="588">
        <v>102</v>
      </c>
      <c r="B124" s="70" t="s">
        <v>258</v>
      </c>
      <c r="C124" s="30" t="s">
        <v>259</v>
      </c>
      <c r="D124" s="555">
        <f t="shared" si="13"/>
        <v>0</v>
      </c>
      <c r="E124" s="555">
        <f t="shared" si="10"/>
        <v>0</v>
      </c>
      <c r="F124" s="555">
        <v>0</v>
      </c>
      <c r="G124" s="555">
        <v>0</v>
      </c>
      <c r="H124" s="555">
        <v>0</v>
      </c>
      <c r="I124" s="555">
        <v>0</v>
      </c>
      <c r="J124" s="555">
        <f t="shared" si="11"/>
        <v>0</v>
      </c>
      <c r="K124" s="556">
        <v>0</v>
      </c>
      <c r="L124" s="556">
        <v>0</v>
      </c>
      <c r="M124" s="556">
        <v>0</v>
      </c>
      <c r="N124" s="14"/>
    </row>
    <row r="125" spans="1:14" x14ac:dyDescent="0.25">
      <c r="A125" s="588">
        <v>103</v>
      </c>
      <c r="B125" s="71" t="s">
        <v>542</v>
      </c>
      <c r="C125" s="30" t="s">
        <v>543</v>
      </c>
      <c r="D125" s="555">
        <f t="shared" ref="D125:D149" si="14">E125+J125</f>
        <v>0</v>
      </c>
      <c r="E125" s="555">
        <f t="shared" si="10"/>
        <v>0</v>
      </c>
      <c r="F125" s="555">
        <v>0</v>
      </c>
      <c r="G125" s="555">
        <v>0</v>
      </c>
      <c r="H125" s="555">
        <v>0</v>
      </c>
      <c r="I125" s="555">
        <v>0</v>
      </c>
      <c r="J125" s="555">
        <f t="shared" si="11"/>
        <v>0</v>
      </c>
      <c r="K125" s="556">
        <v>0</v>
      </c>
      <c r="L125" s="556">
        <v>0</v>
      </c>
      <c r="M125" s="556">
        <v>0</v>
      </c>
      <c r="N125" s="14"/>
    </row>
    <row r="126" spans="1:14" x14ac:dyDescent="0.25">
      <c r="A126" s="588">
        <v>104</v>
      </c>
      <c r="B126" s="71" t="s">
        <v>260</v>
      </c>
      <c r="C126" s="30" t="s">
        <v>261</v>
      </c>
      <c r="D126" s="555">
        <f t="shared" si="14"/>
        <v>0</v>
      </c>
      <c r="E126" s="555">
        <f t="shared" si="10"/>
        <v>0</v>
      </c>
      <c r="F126" s="555">
        <v>0</v>
      </c>
      <c r="G126" s="555">
        <v>0</v>
      </c>
      <c r="H126" s="555">
        <v>0</v>
      </c>
      <c r="I126" s="555">
        <v>0</v>
      </c>
      <c r="J126" s="555">
        <f t="shared" si="11"/>
        <v>0</v>
      </c>
      <c r="K126" s="556">
        <v>0</v>
      </c>
      <c r="L126" s="556">
        <v>0</v>
      </c>
      <c r="M126" s="556">
        <v>0</v>
      </c>
      <c r="N126" s="14"/>
    </row>
    <row r="127" spans="1:14" x14ac:dyDescent="0.25">
      <c r="A127" s="588">
        <v>105</v>
      </c>
      <c r="B127" s="604" t="s">
        <v>262</v>
      </c>
      <c r="C127" s="30" t="s">
        <v>263</v>
      </c>
      <c r="D127" s="555">
        <f t="shared" si="14"/>
        <v>0</v>
      </c>
      <c r="E127" s="555">
        <f t="shared" si="10"/>
        <v>0</v>
      </c>
      <c r="F127" s="555">
        <v>0</v>
      </c>
      <c r="G127" s="555">
        <v>0</v>
      </c>
      <c r="H127" s="555">
        <v>0</v>
      </c>
      <c r="I127" s="555">
        <v>0</v>
      </c>
      <c r="J127" s="555">
        <f t="shared" si="11"/>
        <v>0</v>
      </c>
      <c r="K127" s="556">
        <v>0</v>
      </c>
      <c r="L127" s="556">
        <v>0</v>
      </c>
      <c r="M127" s="556">
        <v>0</v>
      </c>
      <c r="N127" s="14"/>
    </row>
    <row r="128" spans="1:14" x14ac:dyDescent="0.25">
      <c r="A128" s="588">
        <v>106</v>
      </c>
      <c r="B128" s="604" t="s">
        <v>264</v>
      </c>
      <c r="C128" s="120" t="s">
        <v>265</v>
      </c>
      <c r="D128" s="555">
        <f t="shared" si="14"/>
        <v>0</v>
      </c>
      <c r="E128" s="555">
        <f t="shared" si="10"/>
        <v>0</v>
      </c>
      <c r="F128" s="555">
        <v>0</v>
      </c>
      <c r="G128" s="555">
        <v>0</v>
      </c>
      <c r="H128" s="555">
        <v>0</v>
      </c>
      <c r="I128" s="555">
        <v>0</v>
      </c>
      <c r="J128" s="555">
        <f t="shared" si="11"/>
        <v>0</v>
      </c>
      <c r="K128" s="556">
        <v>0</v>
      </c>
      <c r="L128" s="556">
        <v>0</v>
      </c>
      <c r="M128" s="556">
        <v>0</v>
      </c>
      <c r="N128" s="14"/>
    </row>
    <row r="129" spans="1:14" x14ac:dyDescent="0.25">
      <c r="A129" s="588">
        <v>107</v>
      </c>
      <c r="B129" s="604" t="s">
        <v>266</v>
      </c>
      <c r="C129" s="30" t="s">
        <v>267</v>
      </c>
      <c r="D129" s="555">
        <f t="shared" si="14"/>
        <v>20739</v>
      </c>
      <c r="E129" s="555">
        <f t="shared" si="10"/>
        <v>20739</v>
      </c>
      <c r="F129" s="555">
        <v>11118</v>
      </c>
      <c r="G129" s="555">
        <v>9611</v>
      </c>
      <c r="H129" s="555">
        <v>0</v>
      </c>
      <c r="I129" s="555">
        <v>10</v>
      </c>
      <c r="J129" s="555">
        <f t="shared" si="11"/>
        <v>0</v>
      </c>
      <c r="K129" s="556">
        <v>0</v>
      </c>
      <c r="L129" s="556">
        <v>0</v>
      </c>
      <c r="M129" s="556">
        <v>0</v>
      </c>
      <c r="N129" s="14"/>
    </row>
    <row r="130" spans="1:14" x14ac:dyDescent="0.25">
      <c r="A130" s="588">
        <v>108</v>
      </c>
      <c r="B130" s="604" t="s">
        <v>268</v>
      </c>
      <c r="C130" s="30" t="s">
        <v>269</v>
      </c>
      <c r="D130" s="555">
        <f t="shared" si="14"/>
        <v>0</v>
      </c>
      <c r="E130" s="555">
        <f t="shared" si="10"/>
        <v>0</v>
      </c>
      <c r="F130" s="555">
        <v>0</v>
      </c>
      <c r="G130" s="555">
        <v>0</v>
      </c>
      <c r="H130" s="555">
        <v>0</v>
      </c>
      <c r="I130" s="555">
        <v>0</v>
      </c>
      <c r="J130" s="555">
        <f t="shared" si="11"/>
        <v>0</v>
      </c>
      <c r="K130" s="556">
        <v>0</v>
      </c>
      <c r="L130" s="556">
        <v>0</v>
      </c>
      <c r="M130" s="556">
        <v>0</v>
      </c>
      <c r="N130" s="14"/>
    </row>
    <row r="131" spans="1:14" x14ac:dyDescent="0.25">
      <c r="A131" s="588">
        <v>109</v>
      </c>
      <c r="B131" s="604" t="s">
        <v>270</v>
      </c>
      <c r="C131" s="30" t="s">
        <v>271</v>
      </c>
      <c r="D131" s="555">
        <f t="shared" si="14"/>
        <v>20</v>
      </c>
      <c r="E131" s="555">
        <f t="shared" si="10"/>
        <v>20</v>
      </c>
      <c r="F131" s="555">
        <v>0</v>
      </c>
      <c r="G131" s="555">
        <v>16</v>
      </c>
      <c r="H131" s="555">
        <v>0</v>
      </c>
      <c r="I131" s="555">
        <v>4</v>
      </c>
      <c r="J131" s="555">
        <f t="shared" si="11"/>
        <v>0</v>
      </c>
      <c r="K131" s="556">
        <v>0</v>
      </c>
      <c r="L131" s="556">
        <v>0</v>
      </c>
      <c r="M131" s="556">
        <v>0</v>
      </c>
      <c r="N131" s="14"/>
    </row>
    <row r="132" spans="1:14" x14ac:dyDescent="0.25">
      <c r="A132" s="588">
        <v>110</v>
      </c>
      <c r="B132" s="70" t="s">
        <v>272</v>
      </c>
      <c r="C132" s="30" t="s">
        <v>273</v>
      </c>
      <c r="D132" s="555">
        <f t="shared" si="14"/>
        <v>0</v>
      </c>
      <c r="E132" s="555">
        <f t="shared" si="10"/>
        <v>0</v>
      </c>
      <c r="F132" s="555">
        <v>0</v>
      </c>
      <c r="G132" s="555">
        <v>0</v>
      </c>
      <c r="H132" s="555">
        <v>0</v>
      </c>
      <c r="I132" s="555">
        <v>0</v>
      </c>
      <c r="J132" s="555">
        <f t="shared" si="11"/>
        <v>0</v>
      </c>
      <c r="K132" s="556">
        <v>0</v>
      </c>
      <c r="L132" s="556">
        <v>0</v>
      </c>
      <c r="M132" s="556">
        <v>0</v>
      </c>
      <c r="N132" s="14"/>
    </row>
    <row r="133" spans="1:14" x14ac:dyDescent="0.25">
      <c r="A133" s="588">
        <v>111</v>
      </c>
      <c r="B133" s="70" t="s">
        <v>274</v>
      </c>
      <c r="C133" s="30" t="s">
        <v>275</v>
      </c>
      <c r="D133" s="555">
        <f t="shared" si="14"/>
        <v>0</v>
      </c>
      <c r="E133" s="555">
        <f t="shared" si="10"/>
        <v>0</v>
      </c>
      <c r="F133" s="555">
        <v>0</v>
      </c>
      <c r="G133" s="555">
        <v>0</v>
      </c>
      <c r="H133" s="555">
        <v>0</v>
      </c>
      <c r="I133" s="555">
        <v>0</v>
      </c>
      <c r="J133" s="555">
        <f t="shared" si="11"/>
        <v>0</v>
      </c>
      <c r="K133" s="556">
        <v>0</v>
      </c>
      <c r="L133" s="556">
        <v>0</v>
      </c>
      <c r="M133" s="556">
        <v>0</v>
      </c>
      <c r="N133" s="14"/>
    </row>
    <row r="134" spans="1:14" x14ac:dyDescent="0.25">
      <c r="A134" s="588">
        <v>112</v>
      </c>
      <c r="B134" s="70" t="s">
        <v>276</v>
      </c>
      <c r="C134" s="30" t="s">
        <v>277</v>
      </c>
      <c r="D134" s="555">
        <f t="shared" si="14"/>
        <v>1501</v>
      </c>
      <c r="E134" s="555">
        <f t="shared" si="10"/>
        <v>1501</v>
      </c>
      <c r="F134" s="555">
        <v>0</v>
      </c>
      <c r="G134" s="555">
        <v>0</v>
      </c>
      <c r="H134" s="555">
        <v>1501</v>
      </c>
      <c r="I134" s="555">
        <v>0</v>
      </c>
      <c r="J134" s="555">
        <f t="shared" si="11"/>
        <v>0</v>
      </c>
      <c r="K134" s="556">
        <v>0</v>
      </c>
      <c r="L134" s="556">
        <v>0</v>
      </c>
      <c r="M134" s="556">
        <v>0</v>
      </c>
      <c r="N134" s="14"/>
    </row>
    <row r="135" spans="1:14" x14ac:dyDescent="0.25">
      <c r="A135" s="588">
        <v>113</v>
      </c>
      <c r="B135" s="604" t="s">
        <v>278</v>
      </c>
      <c r="C135" s="30" t="s">
        <v>279</v>
      </c>
      <c r="D135" s="555">
        <f t="shared" si="14"/>
        <v>0</v>
      </c>
      <c r="E135" s="555">
        <f t="shared" si="10"/>
        <v>0</v>
      </c>
      <c r="F135" s="555">
        <v>0</v>
      </c>
      <c r="G135" s="555">
        <v>0</v>
      </c>
      <c r="H135" s="555">
        <v>0</v>
      </c>
      <c r="I135" s="555">
        <v>0</v>
      </c>
      <c r="J135" s="555">
        <f t="shared" si="11"/>
        <v>0</v>
      </c>
      <c r="K135" s="556">
        <v>0</v>
      </c>
      <c r="L135" s="556">
        <v>0</v>
      </c>
      <c r="M135" s="556">
        <v>0</v>
      </c>
      <c r="N135" s="14"/>
    </row>
    <row r="136" spans="1:14" x14ac:dyDescent="0.25">
      <c r="A136" s="588">
        <v>114</v>
      </c>
      <c r="B136" s="604" t="s">
        <v>280</v>
      </c>
      <c r="C136" s="30" t="s">
        <v>281</v>
      </c>
      <c r="D136" s="555">
        <f t="shared" si="14"/>
        <v>0</v>
      </c>
      <c r="E136" s="555">
        <f t="shared" si="10"/>
        <v>0</v>
      </c>
      <c r="F136" s="555">
        <v>0</v>
      </c>
      <c r="G136" s="555">
        <v>0</v>
      </c>
      <c r="H136" s="555">
        <v>0</v>
      </c>
      <c r="I136" s="555">
        <v>0</v>
      </c>
      <c r="J136" s="555">
        <f t="shared" si="11"/>
        <v>0</v>
      </c>
      <c r="K136" s="556">
        <v>0</v>
      </c>
      <c r="L136" s="556">
        <v>0</v>
      </c>
      <c r="M136" s="556">
        <v>0</v>
      </c>
      <c r="N136" s="14"/>
    </row>
    <row r="137" spans="1:14" x14ac:dyDescent="0.25">
      <c r="A137" s="588">
        <v>115</v>
      </c>
      <c r="B137" s="604" t="s">
        <v>282</v>
      </c>
      <c r="C137" s="30" t="s">
        <v>768</v>
      </c>
      <c r="D137" s="555">
        <f t="shared" si="14"/>
        <v>0</v>
      </c>
      <c r="E137" s="555">
        <f t="shared" si="10"/>
        <v>0</v>
      </c>
      <c r="F137" s="555">
        <v>0</v>
      </c>
      <c r="G137" s="555">
        <v>0</v>
      </c>
      <c r="H137" s="555">
        <v>0</v>
      </c>
      <c r="I137" s="555">
        <v>0</v>
      </c>
      <c r="J137" s="555">
        <f t="shared" si="11"/>
        <v>0</v>
      </c>
      <c r="K137" s="556">
        <v>0</v>
      </c>
      <c r="L137" s="556">
        <v>0</v>
      </c>
      <c r="M137" s="556">
        <v>0</v>
      </c>
      <c r="N137" s="14"/>
    </row>
    <row r="138" spans="1:14" x14ac:dyDescent="0.25">
      <c r="A138" s="588">
        <v>116</v>
      </c>
      <c r="B138" s="70" t="s">
        <v>283</v>
      </c>
      <c r="C138" s="30" t="s">
        <v>284</v>
      </c>
      <c r="D138" s="555">
        <f t="shared" si="14"/>
        <v>13122</v>
      </c>
      <c r="E138" s="555">
        <f t="shared" si="10"/>
        <v>12352</v>
      </c>
      <c r="F138" s="555">
        <v>6469</v>
      </c>
      <c r="G138" s="555">
        <v>5883</v>
      </c>
      <c r="H138" s="555">
        <v>0</v>
      </c>
      <c r="I138" s="555">
        <v>0</v>
      </c>
      <c r="J138" s="555">
        <f t="shared" si="11"/>
        <v>770</v>
      </c>
      <c r="K138" s="556">
        <v>112</v>
      </c>
      <c r="L138" s="556">
        <v>658</v>
      </c>
      <c r="M138" s="556">
        <v>0</v>
      </c>
      <c r="N138" s="14"/>
    </row>
    <row r="139" spans="1:14" x14ac:dyDescent="0.25">
      <c r="A139" s="588">
        <v>117</v>
      </c>
      <c r="B139" s="71" t="s">
        <v>285</v>
      </c>
      <c r="C139" s="30" t="s">
        <v>726</v>
      </c>
      <c r="D139" s="555">
        <f t="shared" si="14"/>
        <v>16420</v>
      </c>
      <c r="E139" s="555">
        <f t="shared" si="10"/>
        <v>15540</v>
      </c>
      <c r="F139" s="555">
        <v>6993</v>
      </c>
      <c r="G139" s="555">
        <v>8257</v>
      </c>
      <c r="H139" s="555">
        <v>290</v>
      </c>
      <c r="I139" s="555">
        <v>0</v>
      </c>
      <c r="J139" s="555">
        <f t="shared" si="11"/>
        <v>880</v>
      </c>
      <c r="K139" s="556">
        <v>139</v>
      </c>
      <c r="L139" s="556">
        <v>705</v>
      </c>
      <c r="M139" s="556">
        <v>36</v>
      </c>
      <c r="N139" s="14"/>
    </row>
    <row r="140" spans="1:14" x14ac:dyDescent="0.25">
      <c r="A140" s="588">
        <v>118</v>
      </c>
      <c r="B140" s="604" t="s">
        <v>286</v>
      </c>
      <c r="C140" s="30" t="s">
        <v>287</v>
      </c>
      <c r="D140" s="555">
        <f t="shared" si="14"/>
        <v>0</v>
      </c>
      <c r="E140" s="555">
        <f t="shared" si="10"/>
        <v>0</v>
      </c>
      <c r="F140" s="555">
        <v>0</v>
      </c>
      <c r="G140" s="555">
        <v>0</v>
      </c>
      <c r="H140" s="555">
        <v>0</v>
      </c>
      <c r="I140" s="555">
        <v>0</v>
      </c>
      <c r="J140" s="555">
        <f t="shared" si="11"/>
        <v>0</v>
      </c>
      <c r="K140" s="556">
        <v>0</v>
      </c>
      <c r="L140" s="556">
        <v>0</v>
      </c>
      <c r="M140" s="556">
        <v>0</v>
      </c>
      <c r="N140" s="14"/>
    </row>
    <row r="141" spans="1:14" x14ac:dyDescent="0.25">
      <c r="A141" s="588">
        <v>119</v>
      </c>
      <c r="B141" s="70" t="s">
        <v>288</v>
      </c>
      <c r="C141" s="30" t="s">
        <v>289</v>
      </c>
      <c r="D141" s="555">
        <f t="shared" si="14"/>
        <v>0</v>
      </c>
      <c r="E141" s="555">
        <f t="shared" ref="E141:E149" si="15">F141+G141+H141+I141</f>
        <v>0</v>
      </c>
      <c r="F141" s="555">
        <v>0</v>
      </c>
      <c r="G141" s="555">
        <v>0</v>
      </c>
      <c r="H141" s="555">
        <v>0</v>
      </c>
      <c r="I141" s="555">
        <v>0</v>
      </c>
      <c r="J141" s="555">
        <f t="shared" si="11"/>
        <v>0</v>
      </c>
      <c r="K141" s="556">
        <v>0</v>
      </c>
      <c r="L141" s="556">
        <v>0</v>
      </c>
      <c r="M141" s="556">
        <v>0</v>
      </c>
      <c r="N141" s="14"/>
    </row>
    <row r="142" spans="1:14" ht="12.75" x14ac:dyDescent="0.25">
      <c r="A142" s="588">
        <v>120</v>
      </c>
      <c r="B142" s="605" t="s">
        <v>290</v>
      </c>
      <c r="C142" s="121" t="s">
        <v>291</v>
      </c>
      <c r="D142" s="555">
        <f t="shared" si="14"/>
        <v>0</v>
      </c>
      <c r="E142" s="555">
        <f t="shared" si="15"/>
        <v>0</v>
      </c>
      <c r="F142" s="555">
        <v>0</v>
      </c>
      <c r="G142" s="555">
        <v>0</v>
      </c>
      <c r="H142" s="555">
        <v>0</v>
      </c>
      <c r="I142" s="555">
        <v>0</v>
      </c>
      <c r="J142" s="555">
        <f t="shared" si="11"/>
        <v>0</v>
      </c>
      <c r="K142" s="556">
        <v>0</v>
      </c>
      <c r="L142" s="556">
        <v>0</v>
      </c>
      <c r="M142" s="556">
        <v>0</v>
      </c>
      <c r="N142" s="14"/>
    </row>
    <row r="143" spans="1:14" ht="12.75" x14ac:dyDescent="0.25">
      <c r="A143" s="588">
        <v>121</v>
      </c>
      <c r="B143" s="122" t="s">
        <v>292</v>
      </c>
      <c r="C143" s="607" t="s">
        <v>293</v>
      </c>
      <c r="D143" s="555">
        <f t="shared" si="14"/>
        <v>0</v>
      </c>
      <c r="E143" s="555">
        <f t="shared" si="15"/>
        <v>0</v>
      </c>
      <c r="F143" s="555">
        <v>0</v>
      </c>
      <c r="G143" s="555">
        <v>0</v>
      </c>
      <c r="H143" s="555">
        <v>0</v>
      </c>
      <c r="I143" s="555">
        <v>0</v>
      </c>
      <c r="J143" s="555">
        <f t="shared" si="11"/>
        <v>0</v>
      </c>
      <c r="K143" s="556">
        <v>0</v>
      </c>
      <c r="L143" s="556">
        <v>0</v>
      </c>
      <c r="M143" s="556">
        <v>0</v>
      </c>
      <c r="N143" s="14"/>
    </row>
    <row r="144" spans="1:14" ht="12.75" x14ac:dyDescent="0.25">
      <c r="A144" s="588">
        <v>122</v>
      </c>
      <c r="B144" s="124" t="s">
        <v>294</v>
      </c>
      <c r="C144" s="608" t="s">
        <v>295</v>
      </c>
      <c r="D144" s="555">
        <f t="shared" si="14"/>
        <v>0</v>
      </c>
      <c r="E144" s="555">
        <f t="shared" si="15"/>
        <v>0</v>
      </c>
      <c r="F144" s="555">
        <v>0</v>
      </c>
      <c r="G144" s="555">
        <v>0</v>
      </c>
      <c r="H144" s="555">
        <v>0</v>
      </c>
      <c r="I144" s="555">
        <v>0</v>
      </c>
      <c r="J144" s="555">
        <f t="shared" ref="J144:J149" si="16">K144+L144+M144</f>
        <v>0</v>
      </c>
      <c r="K144" s="556">
        <v>0</v>
      </c>
      <c r="L144" s="556">
        <v>0</v>
      </c>
      <c r="M144" s="556">
        <v>0</v>
      </c>
      <c r="N144" s="14"/>
    </row>
    <row r="145" spans="1:14" ht="12.75" x14ac:dyDescent="0.25">
      <c r="A145" s="588">
        <v>123</v>
      </c>
      <c r="B145" s="126" t="s">
        <v>296</v>
      </c>
      <c r="C145" s="609" t="s">
        <v>323</v>
      </c>
      <c r="D145" s="555">
        <f t="shared" si="14"/>
        <v>0</v>
      </c>
      <c r="E145" s="555">
        <f t="shared" si="15"/>
        <v>0</v>
      </c>
      <c r="F145" s="555">
        <v>0</v>
      </c>
      <c r="G145" s="555">
        <v>0</v>
      </c>
      <c r="H145" s="555">
        <v>0</v>
      </c>
      <c r="I145" s="555">
        <v>0</v>
      </c>
      <c r="J145" s="555">
        <f t="shared" si="16"/>
        <v>0</v>
      </c>
      <c r="K145" s="556">
        <v>0</v>
      </c>
      <c r="L145" s="556">
        <v>0</v>
      </c>
      <c r="M145" s="556">
        <v>0</v>
      </c>
      <c r="N145" s="14"/>
    </row>
    <row r="146" spans="1:14" x14ac:dyDescent="0.25">
      <c r="A146" s="588">
        <v>124</v>
      </c>
      <c r="B146" s="588" t="s">
        <v>298</v>
      </c>
      <c r="C146" s="597" t="s">
        <v>299</v>
      </c>
      <c r="D146" s="555">
        <f t="shared" si="14"/>
        <v>0</v>
      </c>
      <c r="E146" s="555">
        <f t="shared" si="15"/>
        <v>0</v>
      </c>
      <c r="F146" s="555">
        <v>0</v>
      </c>
      <c r="G146" s="555">
        <v>0</v>
      </c>
      <c r="H146" s="555">
        <v>0</v>
      </c>
      <c r="I146" s="555">
        <v>0</v>
      </c>
      <c r="J146" s="555">
        <f t="shared" si="16"/>
        <v>0</v>
      </c>
      <c r="K146" s="556">
        <v>0</v>
      </c>
      <c r="L146" s="556">
        <v>0</v>
      </c>
      <c r="M146" s="556">
        <v>0</v>
      </c>
      <c r="N146" s="14"/>
    </row>
    <row r="147" spans="1:14" x14ac:dyDescent="0.25">
      <c r="A147" s="588">
        <v>125</v>
      </c>
      <c r="B147" s="592" t="s">
        <v>300</v>
      </c>
      <c r="C147" s="597" t="s">
        <v>301</v>
      </c>
      <c r="D147" s="555">
        <f t="shared" si="14"/>
        <v>0</v>
      </c>
      <c r="E147" s="555">
        <f t="shared" si="15"/>
        <v>0</v>
      </c>
      <c r="F147" s="555">
        <v>0</v>
      </c>
      <c r="G147" s="555">
        <v>0</v>
      </c>
      <c r="H147" s="555">
        <v>0</v>
      </c>
      <c r="I147" s="555">
        <v>0</v>
      </c>
      <c r="J147" s="555">
        <f t="shared" si="16"/>
        <v>0</v>
      </c>
      <c r="K147" s="556">
        <v>0</v>
      </c>
      <c r="L147" s="556">
        <v>0</v>
      </c>
      <c r="M147" s="556">
        <v>0</v>
      </c>
      <c r="N147" s="14"/>
    </row>
    <row r="148" spans="1:14" x14ac:dyDescent="0.25">
      <c r="A148" s="588">
        <v>126</v>
      </c>
      <c r="B148" s="592" t="s">
        <v>302</v>
      </c>
      <c r="C148" s="597" t="s">
        <v>303</v>
      </c>
      <c r="D148" s="555">
        <f t="shared" si="14"/>
        <v>0</v>
      </c>
      <c r="E148" s="555">
        <f t="shared" si="15"/>
        <v>0</v>
      </c>
      <c r="F148" s="555">
        <v>0</v>
      </c>
      <c r="G148" s="555">
        <v>0</v>
      </c>
      <c r="H148" s="555">
        <v>0</v>
      </c>
      <c r="I148" s="555">
        <v>0</v>
      </c>
      <c r="J148" s="555">
        <f t="shared" si="16"/>
        <v>0</v>
      </c>
      <c r="K148" s="556">
        <v>0</v>
      </c>
      <c r="L148" s="556">
        <v>0</v>
      </c>
      <c r="M148" s="556">
        <v>0</v>
      </c>
      <c r="N148" s="14"/>
    </row>
    <row r="149" spans="1:14" x14ac:dyDescent="0.25">
      <c r="A149" s="588">
        <v>127</v>
      </c>
      <c r="B149" s="592" t="s">
        <v>304</v>
      </c>
      <c r="C149" s="597" t="s">
        <v>305</v>
      </c>
      <c r="D149" s="555">
        <f t="shared" si="14"/>
        <v>0</v>
      </c>
      <c r="E149" s="555">
        <f t="shared" si="15"/>
        <v>0</v>
      </c>
      <c r="F149" s="555">
        <v>0</v>
      </c>
      <c r="G149" s="555">
        <v>0</v>
      </c>
      <c r="H149" s="555">
        <v>0</v>
      </c>
      <c r="I149" s="555">
        <v>0</v>
      </c>
      <c r="J149" s="555">
        <f t="shared" si="16"/>
        <v>0</v>
      </c>
      <c r="K149" s="556">
        <v>0</v>
      </c>
      <c r="L149" s="556">
        <v>0</v>
      </c>
      <c r="M149" s="556">
        <v>0</v>
      </c>
      <c r="N149" s="14"/>
    </row>
    <row r="150" spans="1:14" s="14" customFormat="1" x14ac:dyDescent="0.25">
      <c r="A150" s="554"/>
      <c r="B150" s="554"/>
      <c r="C150" s="2"/>
      <c r="D150" s="2"/>
      <c r="E150" s="2"/>
      <c r="F150" s="2"/>
      <c r="G150" s="2"/>
      <c r="H150" s="2"/>
      <c r="I150" s="2"/>
      <c r="J150" s="2"/>
      <c r="K150" s="26"/>
      <c r="L150" s="26"/>
      <c r="M150" s="26"/>
      <c r="N150" s="26"/>
    </row>
    <row r="151" spans="1:14" s="14" customFormat="1" x14ac:dyDescent="0.25">
      <c r="A151" s="554"/>
      <c r="B151" s="554"/>
      <c r="C151" s="2"/>
      <c r="D151" s="2"/>
      <c r="E151" s="2"/>
      <c r="F151" s="2"/>
      <c r="G151" s="2"/>
      <c r="H151" s="2"/>
      <c r="I151" s="2"/>
      <c r="J151" s="2"/>
      <c r="K151" s="26"/>
      <c r="L151" s="26"/>
      <c r="M151" s="26"/>
      <c r="N151" s="26"/>
    </row>
    <row r="152" spans="1:14" s="14" customFormat="1" x14ac:dyDescent="0.25">
      <c r="A152" s="554"/>
      <c r="B152" s="554"/>
      <c r="C152" s="2"/>
      <c r="D152" s="2"/>
      <c r="E152" s="2"/>
      <c r="F152" s="2"/>
      <c r="G152" s="2"/>
      <c r="H152" s="2"/>
      <c r="I152" s="2"/>
      <c r="J152" s="2"/>
      <c r="K152" s="26"/>
      <c r="L152" s="26"/>
      <c r="M152" s="26"/>
      <c r="N152" s="26"/>
    </row>
  </sheetData>
  <mergeCells count="24">
    <mergeCell ref="K6:K7"/>
    <mergeCell ref="L6:L7"/>
    <mergeCell ref="M6:M7"/>
    <mergeCell ref="A8:C8"/>
    <mergeCell ref="A1:M3"/>
    <mergeCell ref="A4:A7"/>
    <mergeCell ref="B4:B7"/>
    <mergeCell ref="C4:C7"/>
    <mergeCell ref="D4:D7"/>
    <mergeCell ref="E4:M4"/>
    <mergeCell ref="E5:I5"/>
    <mergeCell ref="J5:M5"/>
    <mergeCell ref="E6:E7"/>
    <mergeCell ref="H6:H7"/>
    <mergeCell ref="A11:C11"/>
    <mergeCell ref="B92:B95"/>
    <mergeCell ref="A92:A95"/>
    <mergeCell ref="I6:I7"/>
    <mergeCell ref="J6:J7"/>
    <mergeCell ref="A36:A37"/>
    <mergeCell ref="A74:A76"/>
    <mergeCell ref="A77:A80"/>
    <mergeCell ref="A84:A85"/>
    <mergeCell ref="A87:A88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47"/>
  <sheetViews>
    <sheetView topLeftCell="A2" zoomScale="98" zoomScaleNormal="98" workbookViewId="0">
      <pane xSplit="3" ySplit="8" topLeftCell="D10" activePane="bottomRight" state="frozen"/>
      <selection activeCell="A2" sqref="A2"/>
      <selection pane="topRight" activeCell="D2" sqref="D2"/>
      <selection pane="bottomLeft" activeCell="A14" sqref="A14"/>
      <selection pane="bottomRight" activeCell="I25" sqref="I25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7" width="9.140625" style="5" customWidth="1"/>
    <col min="8" max="16384" width="9.140625" style="5"/>
  </cols>
  <sheetData>
    <row r="2" spans="1:6" ht="48" customHeight="1" x14ac:dyDescent="0.3">
      <c r="A2" s="1164" t="s">
        <v>546</v>
      </c>
      <c r="B2" s="1164"/>
      <c r="C2" s="1164"/>
      <c r="D2" s="1164"/>
      <c r="E2" s="1164"/>
      <c r="F2" s="1164"/>
    </row>
    <row r="3" spans="1:6" ht="12" customHeight="1" x14ac:dyDescent="0.25">
      <c r="A3" s="171"/>
      <c r="B3" s="171"/>
      <c r="C3" s="171"/>
      <c r="D3" s="171"/>
      <c r="E3" s="171"/>
      <c r="F3" s="171"/>
    </row>
    <row r="4" spans="1:6" s="10" customFormat="1" ht="12" customHeight="1" x14ac:dyDescent="0.25">
      <c r="A4" s="876" t="s">
        <v>0</v>
      </c>
      <c r="B4" s="876" t="s">
        <v>1</v>
      </c>
      <c r="C4" s="877" t="s">
        <v>2</v>
      </c>
      <c r="D4" s="1168" t="s">
        <v>538</v>
      </c>
      <c r="E4" s="1169" t="s">
        <v>539</v>
      </c>
      <c r="F4" s="1169"/>
    </row>
    <row r="5" spans="1:6" ht="36" x14ac:dyDescent="0.25">
      <c r="A5" s="876"/>
      <c r="B5" s="876"/>
      <c r="C5" s="877"/>
      <c r="D5" s="1168"/>
      <c r="E5" s="169" t="s">
        <v>540</v>
      </c>
      <c r="F5" s="169" t="s">
        <v>541</v>
      </c>
    </row>
    <row r="6" spans="1:6" s="10" customFormat="1" x14ac:dyDescent="0.25">
      <c r="A6" s="1131" t="s">
        <v>13</v>
      </c>
      <c r="B6" s="1131"/>
      <c r="C6" s="1131"/>
      <c r="D6" s="170">
        <f>D9+D8+D7</f>
        <v>2071455</v>
      </c>
      <c r="E6" s="170">
        <f t="shared" ref="E6:F6" si="0">E9+E8+E7</f>
        <v>177233</v>
      </c>
      <c r="F6" s="170">
        <f t="shared" si="0"/>
        <v>26821</v>
      </c>
    </row>
    <row r="7" spans="1:6" s="19" customFormat="1" x14ac:dyDescent="0.25">
      <c r="A7" s="15"/>
      <c r="B7" s="15"/>
      <c r="C7" s="16" t="s">
        <v>14</v>
      </c>
      <c r="D7" s="146">
        <v>10000</v>
      </c>
      <c r="E7" s="146"/>
      <c r="F7" s="146"/>
    </row>
    <row r="8" spans="1:6" s="19" customFormat="1" x14ac:dyDescent="0.25">
      <c r="A8" s="15"/>
      <c r="B8" s="15"/>
      <c r="C8" s="16" t="s">
        <v>545</v>
      </c>
      <c r="D8" s="146"/>
      <c r="E8" s="146"/>
      <c r="F8" s="146"/>
    </row>
    <row r="9" spans="1:6" s="10" customFormat="1" x14ac:dyDescent="0.25">
      <c r="A9" s="1131" t="s">
        <v>15</v>
      </c>
      <c r="B9" s="1131"/>
      <c r="C9" s="1131"/>
      <c r="D9" s="170">
        <f>SUM(D10:D147)-D35-D73-D74-D76-D77-D78-D83-D86-D90</f>
        <v>2061455</v>
      </c>
      <c r="E9" s="170">
        <f t="shared" ref="E9:F9" si="1">SUM(E10:E147)-E35-E73-E74-E76-E77-E78-E83-E86-E90</f>
        <v>177233</v>
      </c>
      <c r="F9" s="170">
        <f t="shared" si="1"/>
        <v>26821</v>
      </c>
    </row>
    <row r="10" spans="1:6" s="26" customFormat="1" x14ac:dyDescent="0.25">
      <c r="A10" s="145">
        <v>1</v>
      </c>
      <c r="B10" s="48" t="s">
        <v>54</v>
      </c>
      <c r="C10" s="49" t="s">
        <v>55</v>
      </c>
      <c r="D10" s="146">
        <v>9021</v>
      </c>
      <c r="E10" s="146">
        <v>0</v>
      </c>
      <c r="F10" s="146">
        <v>0</v>
      </c>
    </row>
    <row r="11" spans="1:6" s="26" customFormat="1" x14ac:dyDescent="0.25">
      <c r="A11" s="145">
        <v>2</v>
      </c>
      <c r="B11" s="51" t="s">
        <v>56</v>
      </c>
      <c r="C11" s="49" t="s">
        <v>57</v>
      </c>
      <c r="D11" s="146">
        <v>9084</v>
      </c>
      <c r="E11" s="146">
        <v>0</v>
      </c>
      <c r="F11" s="146">
        <v>0</v>
      </c>
    </row>
    <row r="12" spans="1:6" s="148" customFormat="1" x14ac:dyDescent="0.25">
      <c r="A12" s="145">
        <v>3</v>
      </c>
      <c r="B12" s="166" t="s">
        <v>16</v>
      </c>
      <c r="C12" s="49" t="s">
        <v>17</v>
      </c>
      <c r="D12" s="146">
        <v>29285</v>
      </c>
      <c r="E12" s="146">
        <v>0</v>
      </c>
      <c r="F12" s="146">
        <v>0</v>
      </c>
    </row>
    <row r="13" spans="1:6" s="26" customFormat="1" x14ac:dyDescent="0.25">
      <c r="A13" s="145">
        <v>4</v>
      </c>
      <c r="B13" s="48" t="s">
        <v>58</v>
      </c>
      <c r="C13" s="49" t="s">
        <v>59</v>
      </c>
      <c r="D13" s="146">
        <v>9498</v>
      </c>
      <c r="E13" s="146">
        <v>0</v>
      </c>
      <c r="F13" s="146">
        <v>0</v>
      </c>
    </row>
    <row r="14" spans="1:6" s="26" customFormat="1" x14ac:dyDescent="0.25">
      <c r="A14" s="145">
        <v>5</v>
      </c>
      <c r="B14" s="48" t="s">
        <v>60</v>
      </c>
      <c r="C14" s="49" t="s">
        <v>61</v>
      </c>
      <c r="D14" s="146">
        <v>10855</v>
      </c>
      <c r="E14" s="146">
        <v>0</v>
      </c>
      <c r="F14" s="146">
        <v>0</v>
      </c>
    </row>
    <row r="15" spans="1:6" s="148" customFormat="1" x14ac:dyDescent="0.25">
      <c r="A15" s="145">
        <v>6</v>
      </c>
      <c r="B15" s="166" t="s">
        <v>18</v>
      </c>
      <c r="C15" s="49" t="s">
        <v>19</v>
      </c>
      <c r="D15" s="146">
        <v>81986</v>
      </c>
      <c r="E15" s="146">
        <v>0</v>
      </c>
      <c r="F15" s="146">
        <v>0</v>
      </c>
    </row>
    <row r="16" spans="1:6" s="26" customFormat="1" x14ac:dyDescent="0.25">
      <c r="A16" s="145">
        <v>7</v>
      </c>
      <c r="B16" s="48" t="s">
        <v>62</v>
      </c>
      <c r="C16" s="49" t="s">
        <v>63</v>
      </c>
      <c r="D16" s="146">
        <v>28539</v>
      </c>
      <c r="E16" s="146">
        <v>0</v>
      </c>
      <c r="F16" s="146">
        <v>0</v>
      </c>
    </row>
    <row r="17" spans="1:6" s="26" customFormat="1" x14ac:dyDescent="0.25">
      <c r="A17" s="145">
        <v>8</v>
      </c>
      <c r="B17" s="166" t="s">
        <v>64</v>
      </c>
      <c r="C17" s="49" t="s">
        <v>65</v>
      </c>
      <c r="D17" s="146">
        <v>11433</v>
      </c>
      <c r="E17" s="146">
        <v>0</v>
      </c>
      <c r="F17" s="146">
        <v>0</v>
      </c>
    </row>
    <row r="18" spans="1:6" s="26" customFormat="1" x14ac:dyDescent="0.25">
      <c r="A18" s="145">
        <v>9</v>
      </c>
      <c r="B18" s="166" t="s">
        <v>66</v>
      </c>
      <c r="C18" s="49" t="s">
        <v>67</v>
      </c>
      <c r="D18" s="146">
        <v>10091</v>
      </c>
      <c r="E18" s="146">
        <v>0</v>
      </c>
      <c r="F18" s="146">
        <v>0</v>
      </c>
    </row>
    <row r="19" spans="1:6" s="26" customFormat="1" x14ac:dyDescent="0.25">
      <c r="A19" s="145">
        <v>10</v>
      </c>
      <c r="B19" s="166" t="s">
        <v>68</v>
      </c>
      <c r="C19" s="49" t="s">
        <v>69</v>
      </c>
      <c r="D19" s="146">
        <v>13813</v>
      </c>
      <c r="E19" s="146">
        <v>0</v>
      </c>
      <c r="F19" s="146">
        <v>0</v>
      </c>
    </row>
    <row r="20" spans="1:6" s="26" customFormat="1" x14ac:dyDescent="0.25">
      <c r="A20" s="145">
        <v>11</v>
      </c>
      <c r="B20" s="166" t="s">
        <v>70</v>
      </c>
      <c r="C20" s="49" t="s">
        <v>71</v>
      </c>
      <c r="D20" s="146">
        <v>10285</v>
      </c>
      <c r="E20" s="146">
        <v>0</v>
      </c>
      <c r="F20" s="146">
        <v>0</v>
      </c>
    </row>
    <row r="21" spans="1:6" s="26" customFormat="1" x14ac:dyDescent="0.25">
      <c r="A21" s="145">
        <v>12</v>
      </c>
      <c r="B21" s="166" t="s">
        <v>72</v>
      </c>
      <c r="C21" s="49" t="s">
        <v>73</v>
      </c>
      <c r="D21" s="146">
        <v>21260</v>
      </c>
      <c r="E21" s="146">
        <v>0</v>
      </c>
      <c r="F21" s="146">
        <v>0</v>
      </c>
    </row>
    <row r="22" spans="1:6" s="26" customFormat="1" x14ac:dyDescent="0.25">
      <c r="A22" s="145">
        <v>13</v>
      </c>
      <c r="B22" s="166" t="s">
        <v>74</v>
      </c>
      <c r="C22" s="49" t="s">
        <v>75</v>
      </c>
      <c r="D22" s="146">
        <v>0</v>
      </c>
      <c r="E22" s="146">
        <v>0</v>
      </c>
      <c r="F22" s="146">
        <v>0</v>
      </c>
    </row>
    <row r="23" spans="1:6" s="26" customFormat="1" x14ac:dyDescent="0.25">
      <c r="A23" s="145">
        <v>14</v>
      </c>
      <c r="B23" s="166" t="s">
        <v>76</v>
      </c>
      <c r="C23" s="49" t="s">
        <v>77</v>
      </c>
      <c r="D23" s="146">
        <v>13652</v>
      </c>
      <c r="E23" s="146">
        <v>0</v>
      </c>
      <c r="F23" s="146">
        <v>0</v>
      </c>
    </row>
    <row r="24" spans="1:6" s="26" customFormat="1" x14ac:dyDescent="0.25">
      <c r="A24" s="145">
        <v>15</v>
      </c>
      <c r="B24" s="166" t="s">
        <v>78</v>
      </c>
      <c r="C24" s="49" t="s">
        <v>79</v>
      </c>
      <c r="D24" s="146">
        <v>20803</v>
      </c>
      <c r="E24" s="146">
        <v>0</v>
      </c>
      <c r="F24" s="146">
        <v>0</v>
      </c>
    </row>
    <row r="25" spans="1:6" s="26" customFormat="1" x14ac:dyDescent="0.25">
      <c r="A25" s="145">
        <v>16</v>
      </c>
      <c r="B25" s="166" t="s">
        <v>80</v>
      </c>
      <c r="C25" s="49" t="s">
        <v>81</v>
      </c>
      <c r="D25" s="146">
        <v>26425</v>
      </c>
      <c r="E25" s="146">
        <v>0</v>
      </c>
      <c r="F25" s="146">
        <v>0</v>
      </c>
    </row>
    <row r="26" spans="1:6" s="148" customFormat="1" x14ac:dyDescent="0.25">
      <c r="A26" s="145">
        <v>17</v>
      </c>
      <c r="B26" s="166" t="s">
        <v>20</v>
      </c>
      <c r="C26" s="49" t="s">
        <v>21</v>
      </c>
      <c r="D26" s="146">
        <v>49248</v>
      </c>
      <c r="E26" s="146">
        <v>0</v>
      </c>
      <c r="F26" s="146">
        <v>0</v>
      </c>
    </row>
    <row r="27" spans="1:6" s="26" customFormat="1" x14ac:dyDescent="0.25">
      <c r="A27" s="145">
        <v>18</v>
      </c>
      <c r="B27" s="48" t="s">
        <v>82</v>
      </c>
      <c r="C27" s="49" t="s">
        <v>83</v>
      </c>
      <c r="D27" s="146">
        <v>8624</v>
      </c>
      <c r="E27" s="146">
        <v>0</v>
      </c>
      <c r="F27" s="146">
        <v>0</v>
      </c>
    </row>
    <row r="28" spans="1:6" s="26" customFormat="1" x14ac:dyDescent="0.25">
      <c r="A28" s="145">
        <v>19</v>
      </c>
      <c r="B28" s="48" t="s">
        <v>84</v>
      </c>
      <c r="C28" s="49" t="s">
        <v>85</v>
      </c>
      <c r="D28" s="146">
        <v>6614</v>
      </c>
      <c r="E28" s="146">
        <v>0</v>
      </c>
      <c r="F28" s="146">
        <v>0</v>
      </c>
    </row>
    <row r="29" spans="1:6" x14ac:dyDescent="0.25">
      <c r="A29" s="145">
        <v>20</v>
      </c>
      <c r="B29" s="48" t="s">
        <v>86</v>
      </c>
      <c r="C29" s="49" t="s">
        <v>87</v>
      </c>
      <c r="D29" s="146">
        <v>34951</v>
      </c>
      <c r="E29" s="146">
        <v>0</v>
      </c>
      <c r="F29" s="146">
        <v>0</v>
      </c>
    </row>
    <row r="30" spans="1:6" s="148" customFormat="1" x14ac:dyDescent="0.25">
      <c r="A30" s="145">
        <v>21</v>
      </c>
      <c r="B30" s="48" t="s">
        <v>22</v>
      </c>
      <c r="C30" s="49" t="s">
        <v>23</v>
      </c>
      <c r="D30" s="146">
        <v>30253</v>
      </c>
      <c r="E30" s="146">
        <v>0</v>
      </c>
      <c r="F30" s="146">
        <v>0</v>
      </c>
    </row>
    <row r="31" spans="1:6" s="148" customFormat="1" x14ac:dyDescent="0.25">
      <c r="A31" s="145">
        <v>22</v>
      </c>
      <c r="B31" s="166" t="s">
        <v>24</v>
      </c>
      <c r="C31" s="49" t="s">
        <v>25</v>
      </c>
      <c r="D31" s="146">
        <v>6984</v>
      </c>
      <c r="E31" s="146">
        <v>0</v>
      </c>
      <c r="F31" s="146">
        <v>0</v>
      </c>
    </row>
    <row r="32" spans="1:6" s="26" customFormat="1" x14ac:dyDescent="0.25">
      <c r="A32" s="145">
        <v>23</v>
      </c>
      <c r="B32" s="166" t="s">
        <v>88</v>
      </c>
      <c r="C32" s="49" t="s">
        <v>89</v>
      </c>
      <c r="D32" s="146">
        <v>0</v>
      </c>
      <c r="E32" s="146">
        <v>0</v>
      </c>
      <c r="F32" s="146">
        <v>0</v>
      </c>
    </row>
    <row r="33" spans="1:6" s="26" customFormat="1" x14ac:dyDescent="0.25">
      <c r="A33" s="145">
        <v>24</v>
      </c>
      <c r="B33" s="166" t="s">
        <v>90</v>
      </c>
      <c r="C33" s="49" t="s">
        <v>91</v>
      </c>
      <c r="D33" s="146">
        <v>0</v>
      </c>
      <c r="E33" s="146">
        <v>0</v>
      </c>
      <c r="F33" s="146">
        <v>0</v>
      </c>
    </row>
    <row r="34" spans="1:6" s="26" customFormat="1" ht="24" x14ac:dyDescent="0.25">
      <c r="A34" s="1165">
        <v>25</v>
      </c>
      <c r="B34" s="48" t="s">
        <v>92</v>
      </c>
      <c r="C34" s="56" t="s">
        <v>784</v>
      </c>
      <c r="D34" s="146">
        <v>148761</v>
      </c>
      <c r="E34" s="146">
        <v>36279</v>
      </c>
      <c r="F34" s="146">
        <v>0</v>
      </c>
    </row>
    <row r="35" spans="1:6" s="26" customFormat="1" x14ac:dyDescent="0.25">
      <c r="A35" s="1167"/>
      <c r="B35" s="166" t="s">
        <v>94</v>
      </c>
      <c r="C35" s="49" t="s">
        <v>95</v>
      </c>
      <c r="D35" s="146">
        <v>8691</v>
      </c>
      <c r="E35" s="146">
        <v>4308</v>
      </c>
      <c r="F35" s="146">
        <v>0</v>
      </c>
    </row>
    <row r="36" spans="1:6" s="26" customFormat="1" x14ac:dyDescent="0.25">
      <c r="A36" s="145">
        <v>26</v>
      </c>
      <c r="B36" s="51" t="s">
        <v>96</v>
      </c>
      <c r="C36" s="49" t="s">
        <v>97</v>
      </c>
      <c r="D36" s="146">
        <v>11000</v>
      </c>
      <c r="E36" s="146">
        <v>0</v>
      </c>
      <c r="F36" s="146">
        <v>0</v>
      </c>
    </row>
    <row r="37" spans="1:6" s="148" customFormat="1" x14ac:dyDescent="0.25">
      <c r="A37" s="145">
        <v>27</v>
      </c>
      <c r="B37" s="51" t="s">
        <v>26</v>
      </c>
      <c r="C37" s="49" t="s">
        <v>27</v>
      </c>
      <c r="D37" s="146">
        <v>40724</v>
      </c>
      <c r="E37" s="146">
        <v>0</v>
      </c>
      <c r="F37" s="146">
        <v>0</v>
      </c>
    </row>
    <row r="38" spans="1:6" x14ac:dyDescent="0.25">
      <c r="A38" s="145">
        <v>28</v>
      </c>
      <c r="B38" s="48" t="s">
        <v>98</v>
      </c>
      <c r="C38" s="49" t="s">
        <v>99</v>
      </c>
      <c r="D38" s="146">
        <v>63646</v>
      </c>
      <c r="E38" s="146">
        <v>0</v>
      </c>
      <c r="F38" s="146">
        <v>0</v>
      </c>
    </row>
    <row r="39" spans="1:6" s="26" customFormat="1" x14ac:dyDescent="0.25">
      <c r="A39" s="145">
        <v>29</v>
      </c>
      <c r="B39" s="51" t="s">
        <v>100</v>
      </c>
      <c r="C39" s="49" t="s">
        <v>101</v>
      </c>
      <c r="D39" s="146">
        <v>11776</v>
      </c>
      <c r="E39" s="146">
        <v>0</v>
      </c>
      <c r="F39" s="146">
        <v>0</v>
      </c>
    </row>
    <row r="40" spans="1:6" s="26" customFormat="1" x14ac:dyDescent="0.25">
      <c r="A40" s="145">
        <v>30</v>
      </c>
      <c r="B40" s="166" t="s">
        <v>102</v>
      </c>
      <c r="C40" s="49" t="s">
        <v>103</v>
      </c>
      <c r="D40" s="146">
        <v>42260</v>
      </c>
      <c r="E40" s="146">
        <v>0</v>
      </c>
      <c r="F40" s="146">
        <v>0</v>
      </c>
    </row>
    <row r="41" spans="1:6" s="26" customFormat="1" x14ac:dyDescent="0.25">
      <c r="A41" s="145">
        <v>31</v>
      </c>
      <c r="B41" s="51" t="s">
        <v>104</v>
      </c>
      <c r="C41" s="49" t="s">
        <v>105</v>
      </c>
      <c r="D41" s="146">
        <v>15636</v>
      </c>
      <c r="E41" s="146">
        <v>0</v>
      </c>
      <c r="F41" s="146">
        <v>0</v>
      </c>
    </row>
    <row r="42" spans="1:6" x14ac:dyDescent="0.25">
      <c r="A42" s="145">
        <v>32</v>
      </c>
      <c r="B42" s="48" t="s">
        <v>106</v>
      </c>
      <c r="C42" s="49" t="s">
        <v>107</v>
      </c>
      <c r="D42" s="146">
        <v>41020</v>
      </c>
      <c r="E42" s="146">
        <v>0</v>
      </c>
      <c r="F42" s="146">
        <v>0</v>
      </c>
    </row>
    <row r="43" spans="1:6" s="26" customFormat="1" x14ac:dyDescent="0.25">
      <c r="A43" s="145">
        <v>33</v>
      </c>
      <c r="B43" s="149" t="s">
        <v>108</v>
      </c>
      <c r="C43" s="150" t="s">
        <v>109</v>
      </c>
      <c r="D43" s="146">
        <v>13846</v>
      </c>
      <c r="E43" s="146">
        <v>0</v>
      </c>
      <c r="F43" s="146">
        <v>0</v>
      </c>
    </row>
    <row r="44" spans="1:6" s="26" customFormat="1" x14ac:dyDescent="0.25">
      <c r="A44" s="145">
        <v>34</v>
      </c>
      <c r="B44" s="48" t="s">
        <v>110</v>
      </c>
      <c r="C44" s="49" t="s">
        <v>111</v>
      </c>
      <c r="D44" s="146">
        <v>8514</v>
      </c>
      <c r="E44" s="146">
        <v>0</v>
      </c>
      <c r="F44" s="146">
        <v>0</v>
      </c>
    </row>
    <row r="45" spans="1:6" s="26" customFormat="1" x14ac:dyDescent="0.25">
      <c r="A45" s="145">
        <v>35</v>
      </c>
      <c r="B45" s="48" t="s">
        <v>112</v>
      </c>
      <c r="C45" s="49" t="s">
        <v>113</v>
      </c>
      <c r="D45" s="146">
        <v>15145</v>
      </c>
      <c r="E45" s="146">
        <v>0</v>
      </c>
      <c r="F45" s="146">
        <v>0</v>
      </c>
    </row>
    <row r="46" spans="1:6" s="26" customFormat="1" x14ac:dyDescent="0.25">
      <c r="A46" s="145">
        <v>36</v>
      </c>
      <c r="B46" s="166" t="s">
        <v>114</v>
      </c>
      <c r="C46" s="49" t="s">
        <v>115</v>
      </c>
      <c r="D46" s="146">
        <v>6645</v>
      </c>
      <c r="E46" s="146">
        <v>0</v>
      </c>
      <c r="F46" s="146">
        <v>0</v>
      </c>
    </row>
    <row r="47" spans="1:6" s="26" customFormat="1" x14ac:dyDescent="0.25">
      <c r="A47" s="145">
        <v>37</v>
      </c>
      <c r="B47" s="51" t="s">
        <v>116</v>
      </c>
      <c r="C47" s="49" t="s">
        <v>117</v>
      </c>
      <c r="D47" s="146">
        <v>5026</v>
      </c>
      <c r="E47" s="146">
        <v>0</v>
      </c>
      <c r="F47" s="146">
        <v>0</v>
      </c>
    </row>
    <row r="48" spans="1:6" s="148" customFormat="1" x14ac:dyDescent="0.25">
      <c r="A48" s="145">
        <v>38</v>
      </c>
      <c r="B48" s="166" t="s">
        <v>28</v>
      </c>
      <c r="C48" s="49" t="s">
        <v>29</v>
      </c>
      <c r="D48" s="146">
        <v>55986</v>
      </c>
      <c r="E48" s="146">
        <v>0</v>
      </c>
      <c r="F48" s="146">
        <v>0</v>
      </c>
    </row>
    <row r="49" spans="1:6" s="26" customFormat="1" x14ac:dyDescent="0.25">
      <c r="A49" s="145">
        <v>39</v>
      </c>
      <c r="B49" s="48" t="s">
        <v>118</v>
      </c>
      <c r="C49" s="49" t="s">
        <v>119</v>
      </c>
      <c r="D49" s="146">
        <v>12236</v>
      </c>
      <c r="E49" s="146">
        <v>0</v>
      </c>
      <c r="F49" s="146">
        <v>0</v>
      </c>
    </row>
    <row r="50" spans="1:6" s="26" customFormat="1" x14ac:dyDescent="0.25">
      <c r="A50" s="145">
        <v>40</v>
      </c>
      <c r="B50" s="48" t="s">
        <v>120</v>
      </c>
      <c r="C50" s="49" t="s">
        <v>121</v>
      </c>
      <c r="D50" s="146">
        <v>43750</v>
      </c>
      <c r="E50" s="146">
        <v>0</v>
      </c>
      <c r="F50" s="146">
        <v>0</v>
      </c>
    </row>
    <row r="51" spans="1:6" s="26" customFormat="1" x14ac:dyDescent="0.25">
      <c r="A51" s="145">
        <v>41</v>
      </c>
      <c r="B51" s="166" t="s">
        <v>122</v>
      </c>
      <c r="C51" s="49" t="s">
        <v>123</v>
      </c>
      <c r="D51" s="146">
        <v>9316</v>
      </c>
      <c r="E51" s="146">
        <v>0</v>
      </c>
      <c r="F51" s="146">
        <v>0</v>
      </c>
    </row>
    <row r="52" spans="1:6" s="26" customFormat="1" x14ac:dyDescent="0.25">
      <c r="A52" s="145">
        <v>42</v>
      </c>
      <c r="B52" s="51" t="s">
        <v>124</v>
      </c>
      <c r="C52" s="49" t="s">
        <v>125</v>
      </c>
      <c r="D52" s="146">
        <v>12521</v>
      </c>
      <c r="E52" s="146">
        <v>0</v>
      </c>
      <c r="F52" s="146">
        <v>0</v>
      </c>
    </row>
    <row r="53" spans="1:6" s="26" customFormat="1" x14ac:dyDescent="0.25">
      <c r="A53" s="145">
        <v>43</v>
      </c>
      <c r="B53" s="166" t="s">
        <v>126</v>
      </c>
      <c r="C53" s="49" t="s">
        <v>127</v>
      </c>
      <c r="D53" s="146">
        <v>15027</v>
      </c>
      <c r="E53" s="146">
        <v>0</v>
      </c>
      <c r="F53" s="146">
        <v>0</v>
      </c>
    </row>
    <row r="54" spans="1:6" s="26" customFormat="1" x14ac:dyDescent="0.25">
      <c r="A54" s="145">
        <v>44</v>
      </c>
      <c r="B54" s="51" t="s">
        <v>128</v>
      </c>
      <c r="C54" s="49" t="s">
        <v>129</v>
      </c>
      <c r="D54" s="146">
        <v>18054</v>
      </c>
      <c r="E54" s="146">
        <v>0</v>
      </c>
      <c r="F54" s="146">
        <v>0</v>
      </c>
    </row>
    <row r="55" spans="1:6" s="26" customFormat="1" x14ac:dyDescent="0.25">
      <c r="A55" s="145">
        <v>45</v>
      </c>
      <c r="B55" s="166" t="s">
        <v>130</v>
      </c>
      <c r="C55" s="49" t="s">
        <v>131</v>
      </c>
      <c r="D55" s="146">
        <v>6011</v>
      </c>
      <c r="E55" s="146">
        <v>0</v>
      </c>
      <c r="F55" s="146">
        <v>0</v>
      </c>
    </row>
    <row r="56" spans="1:6" s="26" customFormat="1" x14ac:dyDescent="0.25">
      <c r="A56" s="145">
        <v>46</v>
      </c>
      <c r="B56" s="51" t="s">
        <v>132</v>
      </c>
      <c r="C56" s="49" t="s">
        <v>133</v>
      </c>
      <c r="D56" s="146">
        <v>11628</v>
      </c>
      <c r="E56" s="146">
        <v>0</v>
      </c>
      <c r="F56" s="146">
        <v>0</v>
      </c>
    </row>
    <row r="57" spans="1:6" s="26" customFormat="1" x14ac:dyDescent="0.25">
      <c r="A57" s="145">
        <v>47</v>
      </c>
      <c r="B57" s="166" t="s">
        <v>134</v>
      </c>
      <c r="C57" s="49" t="s">
        <v>135</v>
      </c>
      <c r="D57" s="146">
        <v>18181</v>
      </c>
      <c r="E57" s="146">
        <v>0</v>
      </c>
      <c r="F57" s="146">
        <v>0</v>
      </c>
    </row>
    <row r="58" spans="1:6" s="26" customFormat="1" x14ac:dyDescent="0.25">
      <c r="A58" s="145">
        <v>48</v>
      </c>
      <c r="B58" s="166" t="s">
        <v>136</v>
      </c>
      <c r="C58" s="49" t="s">
        <v>137</v>
      </c>
      <c r="D58" s="146">
        <v>65143</v>
      </c>
      <c r="E58" s="146">
        <v>0</v>
      </c>
      <c r="F58" s="146">
        <v>0</v>
      </c>
    </row>
    <row r="59" spans="1:6" s="26" customFormat="1" x14ac:dyDescent="0.25">
      <c r="A59" s="145">
        <v>49</v>
      </c>
      <c r="B59" s="166" t="s">
        <v>138</v>
      </c>
      <c r="C59" s="49" t="s">
        <v>139</v>
      </c>
      <c r="D59" s="146">
        <v>13048</v>
      </c>
      <c r="E59" s="146">
        <v>0</v>
      </c>
      <c r="F59" s="146">
        <v>0</v>
      </c>
    </row>
    <row r="60" spans="1:6" s="26" customFormat="1" x14ac:dyDescent="0.25">
      <c r="A60" s="145">
        <v>50</v>
      </c>
      <c r="B60" s="166" t="s">
        <v>140</v>
      </c>
      <c r="C60" s="49" t="s">
        <v>141</v>
      </c>
      <c r="D60" s="146">
        <v>9537</v>
      </c>
      <c r="E60" s="146">
        <v>0</v>
      </c>
      <c r="F60" s="146">
        <v>0</v>
      </c>
    </row>
    <row r="61" spans="1:6" s="26" customFormat="1" x14ac:dyDescent="0.25">
      <c r="A61" s="145">
        <v>51</v>
      </c>
      <c r="B61" s="51" t="s">
        <v>142</v>
      </c>
      <c r="C61" s="49" t="s">
        <v>143</v>
      </c>
      <c r="D61" s="146">
        <v>10509</v>
      </c>
      <c r="E61" s="146">
        <v>0</v>
      </c>
      <c r="F61" s="146">
        <v>0</v>
      </c>
    </row>
    <row r="62" spans="1:6" s="26" customFormat="1" x14ac:dyDescent="0.25">
      <c r="A62" s="145">
        <v>52</v>
      </c>
      <c r="B62" s="166" t="s">
        <v>144</v>
      </c>
      <c r="C62" s="49" t="s">
        <v>145</v>
      </c>
      <c r="D62" s="146">
        <v>400</v>
      </c>
      <c r="E62" s="146">
        <v>0</v>
      </c>
      <c r="F62" s="146">
        <v>0</v>
      </c>
    </row>
    <row r="63" spans="1:6" s="26" customFormat="1" x14ac:dyDescent="0.25">
      <c r="A63" s="145">
        <v>53</v>
      </c>
      <c r="B63" s="166" t="s">
        <v>146</v>
      </c>
      <c r="C63" s="49" t="s">
        <v>147</v>
      </c>
      <c r="D63" s="146">
        <v>0</v>
      </c>
      <c r="E63" s="146">
        <v>0</v>
      </c>
      <c r="F63" s="146">
        <v>0</v>
      </c>
    </row>
    <row r="64" spans="1:6" s="26" customFormat="1" x14ac:dyDescent="0.25">
      <c r="A64" s="145">
        <v>54</v>
      </c>
      <c r="B64" s="166" t="s">
        <v>148</v>
      </c>
      <c r="C64" s="49" t="s">
        <v>149</v>
      </c>
      <c r="D64" s="146">
        <v>10332</v>
      </c>
      <c r="E64" s="146">
        <v>0</v>
      </c>
      <c r="F64" s="146">
        <v>0</v>
      </c>
    </row>
    <row r="65" spans="1:6" s="26" customFormat="1" x14ac:dyDescent="0.25">
      <c r="A65" s="145">
        <v>55</v>
      </c>
      <c r="B65" s="51" t="s">
        <v>150</v>
      </c>
      <c r="C65" s="49" t="s">
        <v>151</v>
      </c>
      <c r="D65" s="146">
        <v>7941</v>
      </c>
      <c r="E65" s="146">
        <v>0</v>
      </c>
      <c r="F65" s="146">
        <v>0</v>
      </c>
    </row>
    <row r="66" spans="1:6" s="26" customFormat="1" x14ac:dyDescent="0.25">
      <c r="A66" s="145">
        <v>56</v>
      </c>
      <c r="B66" s="51" t="s">
        <v>154</v>
      </c>
      <c r="C66" s="49" t="s">
        <v>155</v>
      </c>
      <c r="D66" s="146">
        <v>31055</v>
      </c>
      <c r="E66" s="146">
        <v>16485</v>
      </c>
      <c r="F66" s="146">
        <v>0</v>
      </c>
    </row>
    <row r="67" spans="1:6" s="26" customFormat="1" x14ac:dyDescent="0.25">
      <c r="A67" s="145">
        <v>57</v>
      </c>
      <c r="B67" s="48" t="s">
        <v>158</v>
      </c>
      <c r="C67" s="49" t="s">
        <v>159</v>
      </c>
      <c r="D67" s="146">
        <v>0</v>
      </c>
      <c r="E67" s="146">
        <v>0</v>
      </c>
      <c r="F67" s="146">
        <v>0</v>
      </c>
    </row>
    <row r="68" spans="1:6" s="26" customFormat="1" x14ac:dyDescent="0.25">
      <c r="A68" s="145">
        <v>58</v>
      </c>
      <c r="B68" s="48" t="s">
        <v>160</v>
      </c>
      <c r="C68" s="49" t="s">
        <v>161</v>
      </c>
      <c r="D68" s="146">
        <v>9725</v>
      </c>
      <c r="E68" s="146">
        <v>0</v>
      </c>
      <c r="F68" s="146">
        <v>0</v>
      </c>
    </row>
    <row r="69" spans="1:6" s="26" customFormat="1" x14ac:dyDescent="0.25">
      <c r="A69" s="145">
        <v>59</v>
      </c>
      <c r="B69" s="51" t="s">
        <v>162</v>
      </c>
      <c r="C69" s="49" t="s">
        <v>163</v>
      </c>
      <c r="D69" s="146">
        <v>28379</v>
      </c>
      <c r="E69" s="146">
        <v>0</v>
      </c>
      <c r="F69" s="146">
        <v>0</v>
      </c>
    </row>
    <row r="70" spans="1:6" s="26" customFormat="1" x14ac:dyDescent="0.25">
      <c r="A70" s="145">
        <v>60</v>
      </c>
      <c r="B70" s="51" t="s">
        <v>164</v>
      </c>
      <c r="C70" s="49" t="s">
        <v>165</v>
      </c>
      <c r="D70" s="146">
        <v>16435</v>
      </c>
      <c r="E70" s="146">
        <v>0</v>
      </c>
      <c r="F70" s="146">
        <v>0</v>
      </c>
    </row>
    <row r="71" spans="1:6" s="26" customFormat="1" x14ac:dyDescent="0.25">
      <c r="A71" s="145">
        <v>61</v>
      </c>
      <c r="B71" s="51" t="s">
        <v>166</v>
      </c>
      <c r="C71" s="49" t="s">
        <v>167</v>
      </c>
      <c r="D71" s="146">
        <v>37729</v>
      </c>
      <c r="E71" s="146">
        <v>0</v>
      </c>
      <c r="F71" s="146">
        <v>0</v>
      </c>
    </row>
    <row r="72" spans="1:6" s="26" customFormat="1" ht="24" x14ac:dyDescent="0.25">
      <c r="A72" s="1165">
        <v>62</v>
      </c>
      <c r="B72" s="48" t="s">
        <v>170</v>
      </c>
      <c r="C72" s="56" t="s">
        <v>785</v>
      </c>
      <c r="D72" s="146">
        <v>23001</v>
      </c>
      <c r="E72" s="146">
        <v>0</v>
      </c>
      <c r="F72" s="146">
        <v>0</v>
      </c>
    </row>
    <row r="73" spans="1:6" s="26" customFormat="1" x14ac:dyDescent="0.25">
      <c r="A73" s="1166"/>
      <c r="B73" s="48" t="s">
        <v>168</v>
      </c>
      <c r="C73" s="49" t="s">
        <v>169</v>
      </c>
      <c r="D73" s="146">
        <v>0</v>
      </c>
      <c r="E73" s="146">
        <v>0</v>
      </c>
      <c r="F73" s="146">
        <v>0</v>
      </c>
    </row>
    <row r="74" spans="1:6" s="26" customFormat="1" x14ac:dyDescent="0.25">
      <c r="A74" s="1167"/>
      <c r="B74" s="48" t="s">
        <v>174</v>
      </c>
      <c r="C74" s="49" t="s">
        <v>175</v>
      </c>
      <c r="D74" s="146">
        <v>0</v>
      </c>
      <c r="E74" s="146">
        <v>0</v>
      </c>
      <c r="F74" s="146">
        <v>0</v>
      </c>
    </row>
    <row r="75" spans="1:6" s="26" customFormat="1" ht="24" x14ac:dyDescent="0.25">
      <c r="A75" s="1165">
        <v>63</v>
      </c>
      <c r="B75" s="48" t="s">
        <v>176</v>
      </c>
      <c r="C75" s="56" t="s">
        <v>788</v>
      </c>
      <c r="D75" s="146">
        <v>0</v>
      </c>
      <c r="E75" s="146">
        <v>0</v>
      </c>
      <c r="F75" s="146">
        <v>0</v>
      </c>
    </row>
    <row r="76" spans="1:6" s="26" customFormat="1" x14ac:dyDescent="0.25">
      <c r="A76" s="1166"/>
      <c r="B76" s="51" t="s">
        <v>172</v>
      </c>
      <c r="C76" s="49" t="s">
        <v>173</v>
      </c>
      <c r="D76" s="146">
        <v>0</v>
      </c>
      <c r="E76" s="146">
        <v>0</v>
      </c>
      <c r="F76" s="146">
        <v>0</v>
      </c>
    </row>
    <row r="77" spans="1:6" s="26" customFormat="1" x14ac:dyDescent="0.25">
      <c r="A77" s="1166"/>
      <c r="B77" s="48" t="s">
        <v>178</v>
      </c>
      <c r="C77" s="49" t="s">
        <v>179</v>
      </c>
      <c r="D77" s="146">
        <v>0</v>
      </c>
      <c r="E77" s="146">
        <v>0</v>
      </c>
      <c r="F77" s="146">
        <v>0</v>
      </c>
    </row>
    <row r="78" spans="1:6" s="26" customFormat="1" x14ac:dyDescent="0.25">
      <c r="A78" s="1167"/>
      <c r="B78" s="48" t="s">
        <v>180</v>
      </c>
      <c r="C78" s="49" t="s">
        <v>181</v>
      </c>
      <c r="D78" s="146">
        <v>0</v>
      </c>
      <c r="E78" s="146">
        <v>0</v>
      </c>
      <c r="F78" s="146">
        <v>0</v>
      </c>
    </row>
    <row r="79" spans="1:6" s="26" customFormat="1" x14ac:dyDescent="0.25">
      <c r="A79" s="145">
        <v>64</v>
      </c>
      <c r="B79" s="166" t="s">
        <v>182</v>
      </c>
      <c r="C79" s="49" t="s">
        <v>183</v>
      </c>
      <c r="D79" s="146">
        <v>46640</v>
      </c>
      <c r="E79" s="146">
        <v>12607</v>
      </c>
      <c r="F79" s="146">
        <v>0</v>
      </c>
    </row>
    <row r="80" spans="1:6" s="26" customFormat="1" x14ac:dyDescent="0.25">
      <c r="A80" s="145">
        <v>65</v>
      </c>
      <c r="B80" s="48" t="s">
        <v>184</v>
      </c>
      <c r="C80" s="49" t="s">
        <v>185</v>
      </c>
      <c r="D80" s="146">
        <v>74493</v>
      </c>
      <c r="E80" s="146">
        <v>20608</v>
      </c>
      <c r="F80" s="146">
        <v>0</v>
      </c>
    </row>
    <row r="81" spans="1:6" s="26" customFormat="1" x14ac:dyDescent="0.25">
      <c r="A81" s="145">
        <v>66</v>
      </c>
      <c r="B81" s="166" t="s">
        <v>186</v>
      </c>
      <c r="C81" s="49" t="s">
        <v>187</v>
      </c>
      <c r="D81" s="146">
        <v>73775</v>
      </c>
      <c r="E81" s="146">
        <v>25005</v>
      </c>
      <c r="F81" s="146">
        <v>19893</v>
      </c>
    </row>
    <row r="82" spans="1:6" s="26" customFormat="1" ht="24" x14ac:dyDescent="0.25">
      <c r="A82" s="1165">
        <v>67</v>
      </c>
      <c r="B82" s="48" t="s">
        <v>188</v>
      </c>
      <c r="C82" s="56" t="s">
        <v>787</v>
      </c>
      <c r="D82" s="146">
        <v>28088</v>
      </c>
      <c r="E82" s="146">
        <v>0</v>
      </c>
      <c r="F82" s="146">
        <v>0</v>
      </c>
    </row>
    <row r="83" spans="1:6" s="26" customFormat="1" x14ac:dyDescent="0.25">
      <c r="A83" s="1167"/>
      <c r="B83" s="166" t="s">
        <v>156</v>
      </c>
      <c r="C83" s="49" t="s">
        <v>157</v>
      </c>
      <c r="D83" s="146">
        <v>2830</v>
      </c>
      <c r="E83" s="146">
        <v>0</v>
      </c>
      <c r="F83" s="146">
        <v>0</v>
      </c>
    </row>
    <row r="84" spans="1:6" s="26" customFormat="1" x14ac:dyDescent="0.25">
      <c r="A84" s="145">
        <v>68</v>
      </c>
      <c r="B84" s="48" t="s">
        <v>190</v>
      </c>
      <c r="C84" s="49" t="s">
        <v>191</v>
      </c>
      <c r="D84" s="146">
        <v>48906</v>
      </c>
      <c r="E84" s="146">
        <v>0</v>
      </c>
      <c r="F84" s="146">
        <v>0</v>
      </c>
    </row>
    <row r="85" spans="1:6" s="26" customFormat="1" ht="24" x14ac:dyDescent="0.25">
      <c r="A85" s="1165">
        <v>69</v>
      </c>
      <c r="B85" s="48" t="s">
        <v>192</v>
      </c>
      <c r="C85" s="56" t="s">
        <v>786</v>
      </c>
      <c r="D85" s="146">
        <v>54516</v>
      </c>
      <c r="E85" s="146">
        <v>15524</v>
      </c>
      <c r="F85" s="146">
        <v>0</v>
      </c>
    </row>
    <row r="86" spans="1:6" s="26" customFormat="1" x14ac:dyDescent="0.25">
      <c r="A86" s="1167"/>
      <c r="B86" s="48" t="s">
        <v>152</v>
      </c>
      <c r="C86" s="49" t="s">
        <v>548</v>
      </c>
      <c r="D86" s="146">
        <v>8153</v>
      </c>
      <c r="E86" s="146">
        <v>4575</v>
      </c>
      <c r="F86" s="146"/>
    </row>
    <row r="87" spans="1:6" s="26" customFormat="1" x14ac:dyDescent="0.25">
      <c r="A87" s="145">
        <v>70</v>
      </c>
      <c r="B87" s="48" t="s">
        <v>194</v>
      </c>
      <c r="C87" s="49" t="s">
        <v>195</v>
      </c>
      <c r="D87" s="146">
        <v>39354</v>
      </c>
      <c r="E87" s="146">
        <v>0</v>
      </c>
      <c r="F87" s="146">
        <v>0</v>
      </c>
    </row>
    <row r="88" spans="1:6" s="26" customFormat="1" x14ac:dyDescent="0.25">
      <c r="A88" s="145">
        <v>71</v>
      </c>
      <c r="B88" s="48" t="s">
        <v>196</v>
      </c>
      <c r="C88" s="49" t="s">
        <v>197</v>
      </c>
      <c r="D88" s="146">
        <v>0</v>
      </c>
      <c r="E88" s="146">
        <v>0</v>
      </c>
      <c r="F88" s="146">
        <v>0</v>
      </c>
    </row>
    <row r="89" spans="1:6" s="26" customFormat="1" x14ac:dyDescent="0.25">
      <c r="A89" s="145">
        <v>72</v>
      </c>
      <c r="B89" s="51" t="s">
        <v>30</v>
      </c>
      <c r="C89" s="49" t="s">
        <v>198</v>
      </c>
      <c r="D89" s="146">
        <v>0</v>
      </c>
      <c r="E89" s="146">
        <v>0</v>
      </c>
      <c r="F89" s="146">
        <v>0</v>
      </c>
    </row>
    <row r="90" spans="1:6" s="26" customFormat="1" x14ac:dyDescent="0.25">
      <c r="A90" s="1165">
        <v>73</v>
      </c>
      <c r="B90" s="897" t="s">
        <v>199</v>
      </c>
      <c r="C90" s="56" t="s">
        <v>200</v>
      </c>
      <c r="D90" s="146">
        <v>10095</v>
      </c>
      <c r="E90" s="146">
        <v>0</v>
      </c>
      <c r="F90" s="146">
        <f t="shared" ref="F90" si="2">F91+F92+F93</f>
        <v>6928</v>
      </c>
    </row>
    <row r="91" spans="1:6" s="26" customFormat="1" ht="24" x14ac:dyDescent="0.25">
      <c r="A91" s="1166"/>
      <c r="B91" s="898"/>
      <c r="C91" s="49" t="s">
        <v>201</v>
      </c>
      <c r="D91" s="146">
        <v>3167</v>
      </c>
      <c r="E91" s="146">
        <v>0</v>
      </c>
      <c r="F91" s="146">
        <v>0</v>
      </c>
    </row>
    <row r="92" spans="1:6" s="26" customFormat="1" x14ac:dyDescent="0.25">
      <c r="A92" s="1166"/>
      <c r="B92" s="898"/>
      <c r="C92" s="49" t="s">
        <v>202</v>
      </c>
      <c r="D92" s="146">
        <v>0</v>
      </c>
      <c r="E92" s="146">
        <v>0</v>
      </c>
      <c r="F92" s="146">
        <v>0</v>
      </c>
    </row>
    <row r="93" spans="1:6" s="26" customFormat="1" ht="24" x14ac:dyDescent="0.25">
      <c r="A93" s="1167"/>
      <c r="B93" s="899"/>
      <c r="C93" s="57" t="s">
        <v>203</v>
      </c>
      <c r="D93" s="146">
        <v>6928</v>
      </c>
      <c r="E93" s="146">
        <v>0</v>
      </c>
      <c r="F93" s="146">
        <v>6928</v>
      </c>
    </row>
    <row r="94" spans="1:6" s="26" customFormat="1" x14ac:dyDescent="0.25">
      <c r="A94" s="145">
        <v>74</v>
      </c>
      <c r="B94" s="51" t="s">
        <v>204</v>
      </c>
      <c r="C94" s="49" t="s">
        <v>205</v>
      </c>
      <c r="D94" s="146">
        <v>0</v>
      </c>
      <c r="E94" s="146">
        <v>0</v>
      </c>
      <c r="F94" s="146">
        <v>0</v>
      </c>
    </row>
    <row r="95" spans="1:6" s="26" customFormat="1" x14ac:dyDescent="0.25">
      <c r="A95" s="145">
        <v>75</v>
      </c>
      <c r="B95" s="51" t="s">
        <v>206</v>
      </c>
      <c r="C95" s="49" t="s">
        <v>207</v>
      </c>
      <c r="D95" s="146">
        <v>2630</v>
      </c>
      <c r="E95" s="146">
        <v>0</v>
      </c>
      <c r="F95" s="146">
        <v>0</v>
      </c>
    </row>
    <row r="96" spans="1:6" s="26" customFormat="1" x14ac:dyDescent="0.25">
      <c r="A96" s="145">
        <v>76</v>
      </c>
      <c r="B96" s="166" t="s">
        <v>208</v>
      </c>
      <c r="C96" s="49" t="s">
        <v>209</v>
      </c>
      <c r="D96" s="146">
        <v>10660</v>
      </c>
      <c r="E96" s="146">
        <v>0</v>
      </c>
      <c r="F96" s="146">
        <v>0</v>
      </c>
    </row>
    <row r="97" spans="1:6" s="26" customFormat="1" x14ac:dyDescent="0.25">
      <c r="A97" s="145">
        <v>77</v>
      </c>
      <c r="B97" s="51" t="s">
        <v>210</v>
      </c>
      <c r="C97" s="49" t="s">
        <v>211</v>
      </c>
      <c r="D97" s="146">
        <v>8128</v>
      </c>
      <c r="E97" s="146">
        <v>0</v>
      </c>
      <c r="F97" s="146">
        <v>0</v>
      </c>
    </row>
    <row r="98" spans="1:6" s="26" customFormat="1" x14ac:dyDescent="0.25">
      <c r="A98" s="145">
        <v>78</v>
      </c>
      <c r="B98" s="166" t="s">
        <v>212</v>
      </c>
      <c r="C98" s="49" t="s">
        <v>213</v>
      </c>
      <c r="D98" s="146">
        <v>8608</v>
      </c>
      <c r="E98" s="146">
        <v>0</v>
      </c>
      <c r="F98" s="146">
        <v>0</v>
      </c>
    </row>
    <row r="99" spans="1:6" s="26" customFormat="1" x14ac:dyDescent="0.25">
      <c r="A99" s="145">
        <v>79</v>
      </c>
      <c r="B99" s="166" t="s">
        <v>214</v>
      </c>
      <c r="C99" s="49" t="s">
        <v>215</v>
      </c>
      <c r="D99" s="146">
        <v>24579</v>
      </c>
      <c r="E99" s="146">
        <v>0</v>
      </c>
      <c r="F99" s="146">
        <v>0</v>
      </c>
    </row>
    <row r="100" spans="1:6" s="26" customFormat="1" x14ac:dyDescent="0.25">
      <c r="A100" s="145">
        <v>80</v>
      </c>
      <c r="B100" s="51" t="s">
        <v>216</v>
      </c>
      <c r="C100" s="49" t="s">
        <v>217</v>
      </c>
      <c r="D100" s="146">
        <v>10053</v>
      </c>
      <c r="E100" s="146">
        <v>0</v>
      </c>
      <c r="F100" s="146">
        <v>0</v>
      </c>
    </row>
    <row r="101" spans="1:6" s="26" customFormat="1" x14ac:dyDescent="0.25">
      <c r="A101" s="145">
        <v>81</v>
      </c>
      <c r="B101" s="48" t="s">
        <v>218</v>
      </c>
      <c r="C101" s="49" t="s">
        <v>219</v>
      </c>
      <c r="D101" s="146">
        <v>32172</v>
      </c>
      <c r="E101" s="146">
        <v>0</v>
      </c>
      <c r="F101" s="146">
        <v>0</v>
      </c>
    </row>
    <row r="102" spans="1:6" s="26" customFormat="1" x14ac:dyDescent="0.25">
      <c r="A102" s="145">
        <v>82</v>
      </c>
      <c r="B102" s="48" t="s">
        <v>220</v>
      </c>
      <c r="C102" s="49" t="s">
        <v>221</v>
      </c>
      <c r="D102" s="146">
        <v>22947</v>
      </c>
      <c r="E102" s="146">
        <v>0</v>
      </c>
      <c r="F102" s="146">
        <v>0</v>
      </c>
    </row>
    <row r="103" spans="1:6" s="26" customFormat="1" x14ac:dyDescent="0.25">
      <c r="A103" s="145">
        <v>83</v>
      </c>
      <c r="B103" s="166" t="s">
        <v>222</v>
      </c>
      <c r="C103" s="49" t="s">
        <v>223</v>
      </c>
      <c r="D103" s="146">
        <v>7799</v>
      </c>
      <c r="E103" s="146">
        <v>0</v>
      </c>
      <c r="F103" s="146">
        <v>0</v>
      </c>
    </row>
    <row r="104" spans="1:6" s="148" customFormat="1" x14ac:dyDescent="0.25">
      <c r="A104" s="145">
        <v>84</v>
      </c>
      <c r="B104" s="48" t="s">
        <v>224</v>
      </c>
      <c r="C104" s="49" t="s">
        <v>225</v>
      </c>
      <c r="D104" s="146">
        <v>12281</v>
      </c>
      <c r="E104" s="146">
        <v>0</v>
      </c>
      <c r="F104" s="146">
        <v>0</v>
      </c>
    </row>
    <row r="105" spans="1:6" s="26" customFormat="1" x14ac:dyDescent="0.25">
      <c r="A105" s="145">
        <v>85</v>
      </c>
      <c r="B105" s="48" t="s">
        <v>226</v>
      </c>
      <c r="C105" s="49" t="s">
        <v>227</v>
      </c>
      <c r="D105" s="146">
        <v>11687</v>
      </c>
      <c r="E105" s="146">
        <v>0</v>
      </c>
      <c r="F105" s="146">
        <v>0</v>
      </c>
    </row>
    <row r="106" spans="1:6" s="26" customFormat="1" x14ac:dyDescent="0.25">
      <c r="A106" s="145">
        <v>86</v>
      </c>
      <c r="B106" s="51" t="s">
        <v>32</v>
      </c>
      <c r="C106" s="49" t="s">
        <v>33</v>
      </c>
      <c r="D106" s="146">
        <v>14436</v>
      </c>
      <c r="E106" s="146">
        <v>0</v>
      </c>
      <c r="F106" s="146">
        <v>0</v>
      </c>
    </row>
    <row r="107" spans="1:6" s="26" customFormat="1" x14ac:dyDescent="0.25">
      <c r="A107" s="145">
        <v>87</v>
      </c>
      <c r="B107" s="166" t="s">
        <v>228</v>
      </c>
      <c r="C107" s="49" t="s">
        <v>229</v>
      </c>
      <c r="D107" s="146">
        <v>9001</v>
      </c>
      <c r="E107" s="146">
        <v>0</v>
      </c>
      <c r="F107" s="146">
        <v>0</v>
      </c>
    </row>
    <row r="108" spans="1:6" s="26" customFormat="1" x14ac:dyDescent="0.25">
      <c r="A108" s="145">
        <v>88</v>
      </c>
      <c r="B108" s="48" t="s">
        <v>230</v>
      </c>
      <c r="C108" s="49" t="s">
        <v>231</v>
      </c>
      <c r="D108" s="146">
        <v>23389</v>
      </c>
      <c r="E108" s="146">
        <v>0</v>
      </c>
      <c r="F108" s="146">
        <v>0</v>
      </c>
    </row>
    <row r="109" spans="1:6" s="26" customFormat="1" x14ac:dyDescent="0.25">
      <c r="A109" s="145">
        <v>89</v>
      </c>
      <c r="B109" s="48" t="s">
        <v>232</v>
      </c>
      <c r="C109" s="49" t="s">
        <v>233</v>
      </c>
      <c r="D109" s="146">
        <v>0</v>
      </c>
      <c r="E109" s="146">
        <v>0</v>
      </c>
      <c r="F109" s="146">
        <v>0</v>
      </c>
    </row>
    <row r="110" spans="1:6" s="26" customFormat="1" x14ac:dyDescent="0.25">
      <c r="A110" s="145">
        <v>90</v>
      </c>
      <c r="B110" s="48" t="s">
        <v>234</v>
      </c>
      <c r="C110" s="49" t="s">
        <v>235</v>
      </c>
      <c r="D110" s="146">
        <v>0</v>
      </c>
      <c r="E110" s="146">
        <v>0</v>
      </c>
      <c r="F110" s="146">
        <v>0</v>
      </c>
    </row>
    <row r="111" spans="1:6" s="26" customFormat="1" x14ac:dyDescent="0.25">
      <c r="A111" s="145">
        <v>91</v>
      </c>
      <c r="B111" s="166" t="s">
        <v>236</v>
      </c>
      <c r="C111" s="49" t="s">
        <v>237</v>
      </c>
      <c r="D111" s="146">
        <v>0</v>
      </c>
      <c r="E111" s="146">
        <v>0</v>
      </c>
      <c r="F111" s="146">
        <v>0</v>
      </c>
    </row>
    <row r="112" spans="1:6" s="26" customFormat="1" x14ac:dyDescent="0.25">
      <c r="A112" s="145">
        <v>92</v>
      </c>
      <c r="B112" s="166" t="s">
        <v>238</v>
      </c>
      <c r="C112" s="49" t="s">
        <v>239</v>
      </c>
      <c r="D112" s="146">
        <v>0</v>
      </c>
      <c r="E112" s="146">
        <v>0</v>
      </c>
      <c r="F112" s="146">
        <v>0</v>
      </c>
    </row>
    <row r="113" spans="1:6" s="26" customFormat="1" x14ac:dyDescent="0.25">
      <c r="A113" s="145">
        <v>93</v>
      </c>
      <c r="B113" s="166" t="s">
        <v>240</v>
      </c>
      <c r="C113" s="49" t="s">
        <v>241</v>
      </c>
      <c r="D113" s="146">
        <v>0</v>
      </c>
      <c r="E113" s="146">
        <v>0</v>
      </c>
      <c r="F113" s="146">
        <v>0</v>
      </c>
    </row>
    <row r="114" spans="1:6" s="26" customFormat="1" x14ac:dyDescent="0.25">
      <c r="A114" s="145">
        <v>94</v>
      </c>
      <c r="B114" s="166" t="s">
        <v>242</v>
      </c>
      <c r="C114" s="49" t="s">
        <v>243</v>
      </c>
      <c r="D114" s="146">
        <v>0</v>
      </c>
      <c r="E114" s="146">
        <v>0</v>
      </c>
      <c r="F114" s="146">
        <v>0</v>
      </c>
    </row>
    <row r="115" spans="1:6" s="26" customFormat="1" x14ac:dyDescent="0.25">
      <c r="A115" s="145">
        <v>95</v>
      </c>
      <c r="B115" s="166" t="s">
        <v>244</v>
      </c>
      <c r="C115" s="49" t="s">
        <v>245</v>
      </c>
      <c r="D115" s="146">
        <v>0</v>
      </c>
      <c r="E115" s="146">
        <v>0</v>
      </c>
      <c r="F115" s="146">
        <v>0</v>
      </c>
    </row>
    <row r="116" spans="1:6" s="26" customFormat="1" x14ac:dyDescent="0.25">
      <c r="A116" s="145">
        <v>96</v>
      </c>
      <c r="B116" s="151" t="s">
        <v>246</v>
      </c>
      <c r="C116" s="150" t="s">
        <v>247</v>
      </c>
      <c r="D116" s="146">
        <v>0</v>
      </c>
      <c r="E116" s="146">
        <v>0</v>
      </c>
      <c r="F116" s="146">
        <v>0</v>
      </c>
    </row>
    <row r="117" spans="1:6" s="26" customFormat="1" x14ac:dyDescent="0.25">
      <c r="A117" s="145">
        <v>97</v>
      </c>
      <c r="B117" s="51" t="s">
        <v>248</v>
      </c>
      <c r="C117" s="49" t="s">
        <v>249</v>
      </c>
      <c r="D117" s="146">
        <v>0</v>
      </c>
      <c r="E117" s="146">
        <v>0</v>
      </c>
      <c r="F117" s="146">
        <v>0</v>
      </c>
    </row>
    <row r="118" spans="1:6" s="26" customFormat="1" x14ac:dyDescent="0.25">
      <c r="A118" s="145">
        <v>98</v>
      </c>
      <c r="B118" s="166" t="s">
        <v>250</v>
      </c>
      <c r="C118" s="49" t="s">
        <v>251</v>
      </c>
      <c r="D118" s="146">
        <v>0</v>
      </c>
      <c r="E118" s="146">
        <v>0</v>
      </c>
      <c r="F118" s="146">
        <v>0</v>
      </c>
    </row>
    <row r="119" spans="1:6" s="26" customFormat="1" x14ac:dyDescent="0.25">
      <c r="A119" s="145">
        <v>99</v>
      </c>
      <c r="B119" s="48" t="s">
        <v>252</v>
      </c>
      <c r="C119" s="59" t="s">
        <v>253</v>
      </c>
      <c r="D119" s="146">
        <v>0</v>
      </c>
      <c r="E119" s="146">
        <v>0</v>
      </c>
      <c r="F119" s="146">
        <v>0</v>
      </c>
    </row>
    <row r="120" spans="1:6" s="26" customFormat="1" x14ac:dyDescent="0.25">
      <c r="A120" s="145">
        <v>100</v>
      </c>
      <c r="B120" s="166" t="s">
        <v>254</v>
      </c>
      <c r="C120" s="49" t="s">
        <v>255</v>
      </c>
      <c r="D120" s="146">
        <v>0</v>
      </c>
      <c r="E120" s="146">
        <v>0</v>
      </c>
      <c r="F120" s="146">
        <v>0</v>
      </c>
    </row>
    <row r="121" spans="1:6" s="26" customFormat="1" x14ac:dyDescent="0.25">
      <c r="A121" s="145">
        <v>101</v>
      </c>
      <c r="B121" s="51" t="s">
        <v>256</v>
      </c>
      <c r="C121" s="49" t="s">
        <v>257</v>
      </c>
      <c r="D121" s="146">
        <v>0</v>
      </c>
      <c r="E121" s="146">
        <v>0</v>
      </c>
      <c r="F121" s="146">
        <v>0</v>
      </c>
    </row>
    <row r="122" spans="1:6" s="26" customFormat="1" x14ac:dyDescent="0.25">
      <c r="A122" s="145">
        <v>102</v>
      </c>
      <c r="B122" s="48" t="s">
        <v>258</v>
      </c>
      <c r="C122" s="49" t="s">
        <v>259</v>
      </c>
      <c r="D122" s="146">
        <v>0</v>
      </c>
      <c r="E122" s="146">
        <v>0</v>
      </c>
      <c r="F122" s="146">
        <v>0</v>
      </c>
    </row>
    <row r="123" spans="1:6" s="26" customFormat="1" x14ac:dyDescent="0.25">
      <c r="A123" s="145">
        <v>103</v>
      </c>
      <c r="B123" s="155" t="s">
        <v>542</v>
      </c>
      <c r="C123" s="150" t="s">
        <v>543</v>
      </c>
      <c r="D123" s="146">
        <v>0</v>
      </c>
      <c r="E123" s="146">
        <v>0</v>
      </c>
      <c r="F123" s="146">
        <v>0</v>
      </c>
    </row>
    <row r="124" spans="1:6" s="26" customFormat="1" x14ac:dyDescent="0.25">
      <c r="A124" s="145">
        <v>104</v>
      </c>
      <c r="B124" s="51" t="s">
        <v>260</v>
      </c>
      <c r="C124" s="49" t="s">
        <v>261</v>
      </c>
      <c r="D124" s="146">
        <v>0</v>
      </c>
      <c r="E124" s="146">
        <v>0</v>
      </c>
      <c r="F124" s="146">
        <v>0</v>
      </c>
    </row>
    <row r="125" spans="1:6" s="26" customFormat="1" x14ac:dyDescent="0.25">
      <c r="A125" s="145">
        <v>105</v>
      </c>
      <c r="B125" s="166" t="s">
        <v>262</v>
      </c>
      <c r="C125" s="49" t="s">
        <v>263</v>
      </c>
      <c r="D125" s="146">
        <v>0</v>
      </c>
      <c r="E125" s="146">
        <v>0</v>
      </c>
      <c r="F125" s="146">
        <v>0</v>
      </c>
    </row>
    <row r="126" spans="1:6" s="26" customFormat="1" x14ac:dyDescent="0.25">
      <c r="A126" s="145">
        <v>106</v>
      </c>
      <c r="B126" s="166" t="s">
        <v>264</v>
      </c>
      <c r="C126" s="53" t="s">
        <v>265</v>
      </c>
      <c r="D126" s="146">
        <v>0</v>
      </c>
      <c r="E126" s="146">
        <v>0</v>
      </c>
      <c r="F126" s="146">
        <v>0</v>
      </c>
    </row>
    <row r="127" spans="1:6" s="26" customFormat="1" x14ac:dyDescent="0.25">
      <c r="A127" s="145">
        <v>107</v>
      </c>
      <c r="B127" s="166" t="s">
        <v>266</v>
      </c>
      <c r="C127" s="49" t="s">
        <v>267</v>
      </c>
      <c r="D127" s="146">
        <v>0</v>
      </c>
      <c r="E127" s="146">
        <v>0</v>
      </c>
      <c r="F127" s="146">
        <v>0</v>
      </c>
    </row>
    <row r="128" spans="1:6" x14ac:dyDescent="0.25">
      <c r="A128" s="145">
        <v>108</v>
      </c>
      <c r="B128" s="166" t="s">
        <v>268</v>
      </c>
      <c r="C128" s="49" t="s">
        <v>269</v>
      </c>
      <c r="D128" s="146">
        <v>0</v>
      </c>
      <c r="E128" s="146">
        <v>0</v>
      </c>
      <c r="F128" s="146">
        <v>0</v>
      </c>
    </row>
    <row r="129" spans="1:6" s="26" customFormat="1" x14ac:dyDescent="0.25">
      <c r="A129" s="145">
        <v>109</v>
      </c>
      <c r="B129" s="166" t="s">
        <v>270</v>
      </c>
      <c r="C129" s="49" t="s">
        <v>271</v>
      </c>
      <c r="D129" s="146">
        <v>500</v>
      </c>
      <c r="E129" s="146">
        <v>0</v>
      </c>
      <c r="F129" s="146">
        <v>0</v>
      </c>
    </row>
    <row r="130" spans="1:6" s="26" customFormat="1" x14ac:dyDescent="0.25">
      <c r="A130" s="145">
        <v>110</v>
      </c>
      <c r="B130" s="48" t="s">
        <v>272</v>
      </c>
      <c r="C130" s="49" t="s">
        <v>273</v>
      </c>
      <c r="D130" s="146">
        <v>30619</v>
      </c>
      <c r="E130" s="146">
        <v>26379</v>
      </c>
      <c r="F130" s="146">
        <v>0</v>
      </c>
    </row>
    <row r="131" spans="1:6" s="26" customFormat="1" x14ac:dyDescent="0.25">
      <c r="A131" s="145">
        <v>111</v>
      </c>
      <c r="B131" s="48" t="s">
        <v>274</v>
      </c>
      <c r="C131" s="49" t="s">
        <v>275</v>
      </c>
      <c r="D131" s="146">
        <v>0</v>
      </c>
      <c r="E131" s="146">
        <v>0</v>
      </c>
      <c r="F131" s="146">
        <v>0</v>
      </c>
    </row>
    <row r="132" spans="1:6" s="26" customFormat="1" x14ac:dyDescent="0.25">
      <c r="A132" s="145">
        <v>112</v>
      </c>
      <c r="B132" s="48" t="s">
        <v>276</v>
      </c>
      <c r="C132" s="49" t="s">
        <v>277</v>
      </c>
      <c r="D132" s="146">
        <v>0</v>
      </c>
      <c r="E132" s="146">
        <v>0</v>
      </c>
      <c r="F132" s="146">
        <v>0</v>
      </c>
    </row>
    <row r="133" spans="1:6" s="26" customFormat="1" x14ac:dyDescent="0.25">
      <c r="A133" s="145">
        <v>113</v>
      </c>
      <c r="B133" s="166" t="s">
        <v>278</v>
      </c>
      <c r="C133" s="49" t="s">
        <v>279</v>
      </c>
      <c r="D133" s="146">
        <v>0</v>
      </c>
      <c r="E133" s="146">
        <v>0</v>
      </c>
      <c r="F133" s="146">
        <v>0</v>
      </c>
    </row>
    <row r="134" spans="1:6" s="26" customFormat="1" x14ac:dyDescent="0.25">
      <c r="A134" s="145">
        <v>114</v>
      </c>
      <c r="B134" s="166" t="s">
        <v>280</v>
      </c>
      <c r="C134" s="49" t="s">
        <v>281</v>
      </c>
      <c r="D134" s="146">
        <v>0</v>
      </c>
      <c r="E134" s="146">
        <v>0</v>
      </c>
      <c r="F134" s="146">
        <v>0</v>
      </c>
    </row>
    <row r="135" spans="1:6" s="26" customFormat="1" x14ac:dyDescent="0.25">
      <c r="A135" s="145">
        <v>115</v>
      </c>
      <c r="B135" s="166" t="s">
        <v>282</v>
      </c>
      <c r="C135" s="49" t="s">
        <v>768</v>
      </c>
      <c r="D135" s="146">
        <v>1000</v>
      </c>
      <c r="E135" s="146">
        <v>0</v>
      </c>
      <c r="F135" s="146">
        <v>0</v>
      </c>
    </row>
    <row r="136" spans="1:6" s="26" customFormat="1" x14ac:dyDescent="0.25">
      <c r="A136" s="145">
        <v>116</v>
      </c>
      <c r="B136" s="48" t="s">
        <v>283</v>
      </c>
      <c r="C136" s="49" t="s">
        <v>284</v>
      </c>
      <c r="D136" s="146">
        <v>50317</v>
      </c>
      <c r="E136" s="146">
        <v>0</v>
      </c>
      <c r="F136" s="146">
        <v>0</v>
      </c>
    </row>
    <row r="137" spans="1:6" s="26" customFormat="1" x14ac:dyDescent="0.25">
      <c r="A137" s="145">
        <v>117</v>
      </c>
      <c r="B137" s="51" t="s">
        <v>285</v>
      </c>
      <c r="C137" s="49" t="s">
        <v>726</v>
      </c>
      <c r="D137" s="146">
        <v>68135</v>
      </c>
      <c r="E137" s="146">
        <v>24346</v>
      </c>
      <c r="F137" s="146">
        <v>0</v>
      </c>
    </row>
    <row r="138" spans="1:6" x14ac:dyDescent="0.25">
      <c r="A138" s="145">
        <v>118</v>
      </c>
      <c r="B138" s="166" t="s">
        <v>286</v>
      </c>
      <c r="C138" s="49" t="s">
        <v>287</v>
      </c>
      <c r="D138" s="146">
        <v>4000</v>
      </c>
      <c r="E138" s="146">
        <v>0</v>
      </c>
      <c r="F138" s="146">
        <v>0</v>
      </c>
    </row>
    <row r="139" spans="1:6" x14ac:dyDescent="0.25">
      <c r="A139" s="145">
        <v>119</v>
      </c>
      <c r="B139" s="48" t="s">
        <v>288</v>
      </c>
      <c r="C139" s="49" t="s">
        <v>289</v>
      </c>
      <c r="D139" s="146">
        <v>0</v>
      </c>
      <c r="E139" s="146">
        <v>0</v>
      </c>
      <c r="F139" s="146">
        <v>0</v>
      </c>
    </row>
    <row r="140" spans="1:6" x14ac:dyDescent="0.25">
      <c r="A140" s="145">
        <v>120</v>
      </c>
      <c r="B140" s="166" t="s">
        <v>290</v>
      </c>
      <c r="C140" s="49" t="s">
        <v>291</v>
      </c>
      <c r="D140" s="146">
        <v>0</v>
      </c>
      <c r="E140" s="146">
        <v>0</v>
      </c>
      <c r="F140" s="146">
        <v>0</v>
      </c>
    </row>
    <row r="141" spans="1:6" x14ac:dyDescent="0.25">
      <c r="A141" s="145">
        <v>121</v>
      </c>
      <c r="B141" s="60" t="s">
        <v>292</v>
      </c>
      <c r="C141" s="152" t="s">
        <v>293</v>
      </c>
      <c r="D141" s="146">
        <v>0</v>
      </c>
      <c r="E141" s="146">
        <v>0</v>
      </c>
      <c r="F141" s="146">
        <v>0</v>
      </c>
    </row>
    <row r="142" spans="1:6" x14ac:dyDescent="0.25">
      <c r="A142" s="145">
        <v>122</v>
      </c>
      <c r="B142" s="62" t="s">
        <v>294</v>
      </c>
      <c r="C142" s="153" t="s">
        <v>295</v>
      </c>
      <c r="D142" s="146">
        <v>0</v>
      </c>
      <c r="E142" s="146">
        <v>0</v>
      </c>
      <c r="F142" s="146">
        <v>0</v>
      </c>
    </row>
    <row r="143" spans="1:6" x14ac:dyDescent="0.2">
      <c r="A143" s="145">
        <v>123</v>
      </c>
      <c r="B143" s="63" t="s">
        <v>296</v>
      </c>
      <c r="C143" s="613" t="s">
        <v>460</v>
      </c>
      <c r="D143" s="146">
        <v>0</v>
      </c>
      <c r="E143" s="146">
        <v>0</v>
      </c>
      <c r="F143" s="146">
        <v>0</v>
      </c>
    </row>
    <row r="144" spans="1:6" x14ac:dyDescent="0.25">
      <c r="A144" s="145">
        <v>124</v>
      </c>
      <c r="B144" s="145" t="s">
        <v>298</v>
      </c>
      <c r="C144" s="154" t="s">
        <v>299</v>
      </c>
      <c r="D144" s="146">
        <v>0</v>
      </c>
      <c r="E144" s="146">
        <v>0</v>
      </c>
      <c r="F144" s="146">
        <v>0</v>
      </c>
    </row>
    <row r="145" spans="1:50" x14ac:dyDescent="0.25">
      <c r="A145" s="145">
        <v>125</v>
      </c>
      <c r="B145" s="155" t="s">
        <v>300</v>
      </c>
      <c r="C145" s="154" t="s">
        <v>301</v>
      </c>
      <c r="D145" s="146">
        <v>0</v>
      </c>
      <c r="E145" s="146">
        <v>0</v>
      </c>
      <c r="F145" s="146">
        <v>0</v>
      </c>
    </row>
    <row r="146" spans="1:50" s="31" customFormat="1" x14ac:dyDescent="0.25">
      <c r="A146" s="145">
        <v>126</v>
      </c>
      <c r="B146" s="155" t="s">
        <v>302</v>
      </c>
      <c r="C146" s="154" t="s">
        <v>303</v>
      </c>
      <c r="D146" s="146">
        <v>0</v>
      </c>
      <c r="E146" s="146">
        <v>0</v>
      </c>
      <c r="F146" s="146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s="145">
        <v>127</v>
      </c>
      <c r="B147" s="155" t="s">
        <v>304</v>
      </c>
      <c r="C147" s="150" t="s">
        <v>305</v>
      </c>
      <c r="D147" s="146">
        <v>0</v>
      </c>
      <c r="E147" s="146">
        <v>0</v>
      </c>
      <c r="F147" s="146">
        <v>0</v>
      </c>
    </row>
  </sheetData>
  <mergeCells count="15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110" zoomScaleNormal="110" workbookViewId="0">
      <pane xSplit="4" ySplit="7" topLeftCell="H8" activePane="bottomRight" state="frozen"/>
      <selection pane="topRight" activeCell="E1" sqref="E1"/>
      <selection pane="bottomLeft" activeCell="A8" sqref="A8"/>
      <selection pane="bottomRight" activeCell="J12" sqref="J12"/>
    </sheetView>
  </sheetViews>
  <sheetFormatPr defaultRowHeight="11.25" x14ac:dyDescent="0.2"/>
  <cols>
    <col min="1" max="1" width="3.7109375" style="294" customWidth="1"/>
    <col min="2" max="2" width="9.140625" style="294"/>
    <col min="3" max="3" width="27.7109375" style="294" customWidth="1"/>
    <col min="4" max="4" width="9.140625" style="294"/>
    <col min="5" max="6" width="12" style="294" customWidth="1"/>
    <col min="7" max="8" width="11.140625" style="309" customWidth="1"/>
    <col min="9" max="9" width="12" style="294" customWidth="1"/>
    <col min="10" max="10" width="11" style="294" customWidth="1"/>
    <col min="11" max="11" width="11.7109375" style="294" customWidth="1"/>
    <col min="12" max="13" width="11.42578125" style="294" customWidth="1"/>
    <col min="14" max="15" width="12.7109375" style="294" customWidth="1"/>
    <col min="16" max="16" width="12.28515625" style="294" customWidth="1"/>
    <col min="17" max="17" width="11.28515625" style="294" customWidth="1"/>
    <col min="18" max="18" width="8.28515625" style="294" customWidth="1"/>
    <col min="19" max="19" width="13.28515625" style="294" customWidth="1"/>
    <col min="20" max="20" width="11" style="294" customWidth="1"/>
    <col min="21" max="21" width="9.140625" style="293"/>
    <col min="22" max="16384" width="9.140625" style="294"/>
  </cols>
  <sheetData>
    <row r="1" spans="1:21" s="292" customFormat="1" ht="15.75" x14ac:dyDescent="0.25">
      <c r="A1" s="1170" t="s">
        <v>648</v>
      </c>
      <c r="B1" s="1170"/>
      <c r="C1" s="1170"/>
      <c r="D1" s="1170"/>
      <c r="E1" s="1170"/>
      <c r="F1" s="1170"/>
      <c r="G1" s="1170"/>
      <c r="H1" s="1170"/>
      <c r="I1" s="1170"/>
      <c r="J1" s="1170"/>
      <c r="K1" s="1170"/>
      <c r="L1" s="1170"/>
      <c r="M1" s="1170"/>
      <c r="N1" s="1170"/>
      <c r="O1" s="1170"/>
      <c r="P1" s="1170"/>
      <c r="Q1" s="1170"/>
      <c r="R1" s="1170"/>
      <c r="S1" s="1170"/>
      <c r="T1" s="1170"/>
      <c r="U1" s="291"/>
    </row>
    <row r="3" spans="1:21" x14ac:dyDescent="0.2">
      <c r="A3" s="1171" t="s">
        <v>0</v>
      </c>
      <c r="B3" s="1172" t="s">
        <v>326</v>
      </c>
      <c r="C3" s="1175" t="s">
        <v>309</v>
      </c>
      <c r="D3" s="1178" t="s">
        <v>649</v>
      </c>
      <c r="E3" s="1181" t="s">
        <v>650</v>
      </c>
      <c r="F3" s="1182"/>
      <c r="G3" s="1182"/>
      <c r="H3" s="1182"/>
      <c r="I3" s="1182"/>
      <c r="J3" s="1182"/>
      <c r="K3" s="1183"/>
      <c r="L3" s="1184" t="s">
        <v>651</v>
      </c>
      <c r="M3" s="1184"/>
      <c r="N3" s="1184"/>
      <c r="O3" s="1184"/>
      <c r="P3" s="1184"/>
      <c r="Q3" s="1184"/>
      <c r="R3" s="1184"/>
      <c r="S3" s="1184"/>
      <c r="T3" s="1184"/>
    </row>
    <row r="4" spans="1:21" ht="16.5" customHeight="1" x14ac:dyDescent="0.2">
      <c r="A4" s="1171"/>
      <c r="B4" s="1173"/>
      <c r="C4" s="1176"/>
      <c r="D4" s="1179"/>
      <c r="E4" s="1185" t="s">
        <v>652</v>
      </c>
      <c r="F4" s="1186"/>
      <c r="G4" s="1189" t="s">
        <v>653</v>
      </c>
      <c r="H4" s="1189"/>
      <c r="I4" s="1189"/>
      <c r="J4" s="1189"/>
      <c r="K4" s="1189"/>
      <c r="L4" s="1190" t="s">
        <v>654</v>
      </c>
      <c r="M4" s="1190"/>
      <c r="N4" s="1190"/>
      <c r="O4" s="1190"/>
      <c r="P4" s="1191" t="s">
        <v>652</v>
      </c>
      <c r="Q4" s="1192"/>
      <c r="R4" s="1192"/>
      <c r="S4" s="1192"/>
      <c r="T4" s="1193"/>
    </row>
    <row r="5" spans="1:21" ht="20.25" customHeight="1" x14ac:dyDescent="0.2">
      <c r="A5" s="1171"/>
      <c r="B5" s="1173"/>
      <c r="C5" s="1176"/>
      <c r="D5" s="1179"/>
      <c r="E5" s="1187"/>
      <c r="F5" s="1188"/>
      <c r="G5" s="1189"/>
      <c r="H5" s="1189"/>
      <c r="I5" s="1189"/>
      <c r="J5" s="1189"/>
      <c r="K5" s="1189"/>
      <c r="L5" s="518" t="s">
        <v>655</v>
      </c>
      <c r="M5" s="1197" t="s">
        <v>653</v>
      </c>
      <c r="N5" s="1198"/>
      <c r="O5" s="1199"/>
      <c r="P5" s="1194"/>
      <c r="Q5" s="1195"/>
      <c r="R5" s="1195"/>
      <c r="S5" s="1195"/>
      <c r="T5" s="1196"/>
    </row>
    <row r="6" spans="1:21" ht="15" customHeight="1" x14ac:dyDescent="0.2">
      <c r="A6" s="1171"/>
      <c r="B6" s="1173"/>
      <c r="C6" s="1176"/>
      <c r="D6" s="1179"/>
      <c r="E6" s="1200" t="s">
        <v>656</v>
      </c>
      <c r="F6" s="1202" t="s">
        <v>657</v>
      </c>
      <c r="G6" s="1200" t="s">
        <v>658</v>
      </c>
      <c r="H6" s="1202" t="s">
        <v>657</v>
      </c>
      <c r="I6" s="1204" t="s">
        <v>656</v>
      </c>
      <c r="J6" s="1204" t="s">
        <v>659</v>
      </c>
      <c r="K6" s="1204"/>
      <c r="L6" s="1202" t="s">
        <v>656</v>
      </c>
      <c r="M6" s="1202" t="s">
        <v>657</v>
      </c>
      <c r="N6" s="1202" t="s">
        <v>660</v>
      </c>
      <c r="O6" s="1200" t="s">
        <v>658</v>
      </c>
      <c r="P6" s="1202" t="s">
        <v>657</v>
      </c>
      <c r="Q6" s="1202" t="s">
        <v>660</v>
      </c>
      <c r="R6" s="1202" t="s">
        <v>661</v>
      </c>
      <c r="S6" s="1204" t="s">
        <v>662</v>
      </c>
      <c r="T6" s="1200" t="s">
        <v>658</v>
      </c>
    </row>
    <row r="7" spans="1:21" ht="33.75" customHeight="1" x14ac:dyDescent="0.2">
      <c r="A7" s="1171"/>
      <c r="B7" s="1174"/>
      <c r="C7" s="1177"/>
      <c r="D7" s="1180"/>
      <c r="E7" s="1201"/>
      <c r="F7" s="1203"/>
      <c r="G7" s="1201"/>
      <c r="H7" s="1203"/>
      <c r="I7" s="1204"/>
      <c r="J7" s="519" t="s">
        <v>663</v>
      </c>
      <c r="K7" s="519" t="s">
        <v>664</v>
      </c>
      <c r="L7" s="1203"/>
      <c r="M7" s="1203"/>
      <c r="N7" s="1203"/>
      <c r="O7" s="1201"/>
      <c r="P7" s="1203"/>
      <c r="Q7" s="1203"/>
      <c r="R7" s="1203"/>
      <c r="S7" s="1204"/>
      <c r="T7" s="1201"/>
    </row>
    <row r="8" spans="1:21" ht="15" customHeight="1" x14ac:dyDescent="0.2">
      <c r="A8" s="295">
        <v>1</v>
      </c>
      <c r="B8" s="296" t="s">
        <v>266</v>
      </c>
      <c r="C8" s="297" t="s">
        <v>665</v>
      </c>
      <c r="D8" s="298">
        <f t="shared" ref="D8:D20" si="0">SUM(E8:T8)</f>
        <v>3292</v>
      </c>
      <c r="E8" s="518"/>
      <c r="F8" s="518"/>
      <c r="G8" s="299"/>
      <c r="H8" s="299"/>
      <c r="I8" s="518">
        <v>450</v>
      </c>
      <c r="J8" s="518">
        <v>100</v>
      </c>
      <c r="K8" s="518">
        <v>12</v>
      </c>
      <c r="L8" s="300">
        <v>630</v>
      </c>
      <c r="M8" s="300"/>
      <c r="N8" s="518">
        <v>970</v>
      </c>
      <c r="O8" s="518">
        <v>50</v>
      </c>
      <c r="P8" s="518"/>
      <c r="Q8" s="518"/>
      <c r="R8" s="518"/>
      <c r="S8" s="518"/>
      <c r="T8" s="518">
        <v>1080</v>
      </c>
    </row>
    <row r="9" spans="1:21" ht="15" customHeight="1" x14ac:dyDescent="0.2">
      <c r="A9" s="295">
        <v>2</v>
      </c>
      <c r="B9" s="301" t="s">
        <v>272</v>
      </c>
      <c r="C9" s="302" t="s">
        <v>273</v>
      </c>
      <c r="D9" s="298">
        <f t="shared" si="0"/>
        <v>2786</v>
      </c>
      <c r="E9" s="518"/>
      <c r="F9" s="518"/>
      <c r="G9" s="299">
        <v>40</v>
      </c>
      <c r="H9" s="299"/>
      <c r="I9" s="518">
        <v>10</v>
      </c>
      <c r="J9" s="518"/>
      <c r="K9" s="518"/>
      <c r="L9" s="300"/>
      <c r="M9" s="300"/>
      <c r="N9" s="518"/>
      <c r="O9" s="518"/>
      <c r="P9" s="518"/>
      <c r="Q9" s="518">
        <v>804</v>
      </c>
      <c r="R9" s="518">
        <v>288</v>
      </c>
      <c r="S9" s="518">
        <v>150</v>
      </c>
      <c r="T9" s="518">
        <v>1494</v>
      </c>
    </row>
    <row r="10" spans="1:21" ht="12" x14ac:dyDescent="0.2">
      <c r="A10" s="295">
        <v>3</v>
      </c>
      <c r="B10" s="301" t="s">
        <v>268</v>
      </c>
      <c r="C10" s="534" t="s">
        <v>269</v>
      </c>
      <c r="D10" s="298">
        <f t="shared" si="0"/>
        <v>6</v>
      </c>
      <c r="E10" s="518"/>
      <c r="F10" s="518"/>
      <c r="G10" s="299"/>
      <c r="H10" s="299"/>
      <c r="I10" s="518"/>
      <c r="J10" s="518">
        <v>6</v>
      </c>
      <c r="K10" s="518"/>
      <c r="L10" s="303"/>
      <c r="M10" s="303"/>
      <c r="N10" s="303"/>
      <c r="O10" s="303"/>
      <c r="P10" s="518"/>
      <c r="Q10" s="518"/>
      <c r="R10" s="518"/>
      <c r="S10" s="518"/>
      <c r="T10" s="518"/>
    </row>
    <row r="11" spans="1:21" x14ac:dyDescent="0.2">
      <c r="A11" s="295">
        <v>4</v>
      </c>
      <c r="B11" s="296" t="s">
        <v>270</v>
      </c>
      <c r="C11" s="302" t="s">
        <v>271</v>
      </c>
      <c r="D11" s="298">
        <f t="shared" si="0"/>
        <v>90</v>
      </c>
      <c r="E11" s="518"/>
      <c r="F11" s="518"/>
      <c r="G11" s="299"/>
      <c r="H11" s="299"/>
      <c r="I11" s="518"/>
      <c r="J11" s="518">
        <v>90</v>
      </c>
      <c r="K11" s="518"/>
      <c r="L11" s="303"/>
      <c r="M11" s="303"/>
      <c r="N11" s="303"/>
      <c r="O11" s="303"/>
      <c r="P11" s="518"/>
      <c r="Q11" s="518"/>
      <c r="R11" s="518"/>
      <c r="S11" s="518"/>
      <c r="T11" s="518"/>
    </row>
    <row r="12" spans="1:21" x14ac:dyDescent="0.2">
      <c r="A12" s="295">
        <v>5</v>
      </c>
      <c r="B12" s="304" t="s">
        <v>283</v>
      </c>
      <c r="C12" s="302" t="s">
        <v>284</v>
      </c>
      <c r="D12" s="298">
        <f t="shared" si="0"/>
        <v>47</v>
      </c>
      <c r="E12" s="518"/>
      <c r="F12" s="518"/>
      <c r="G12" s="299"/>
      <c r="H12" s="299"/>
      <c r="I12" s="518"/>
      <c r="J12" s="518">
        <v>45</v>
      </c>
      <c r="K12" s="518">
        <v>2</v>
      </c>
      <c r="L12" s="303"/>
      <c r="M12" s="303"/>
      <c r="N12" s="303"/>
      <c r="O12" s="303"/>
      <c r="P12" s="518"/>
      <c r="Q12" s="518"/>
      <c r="R12" s="518"/>
      <c r="S12" s="518"/>
      <c r="T12" s="518"/>
    </row>
    <row r="13" spans="1:21" ht="22.5" x14ac:dyDescent="0.2">
      <c r="A13" s="295">
        <v>6</v>
      </c>
      <c r="B13" s="305" t="s">
        <v>285</v>
      </c>
      <c r="C13" s="297" t="s">
        <v>726</v>
      </c>
      <c r="D13" s="298">
        <f t="shared" si="0"/>
        <v>30</v>
      </c>
      <c r="E13" s="518"/>
      <c r="F13" s="518"/>
      <c r="G13" s="299"/>
      <c r="H13" s="299"/>
      <c r="I13" s="518"/>
      <c r="J13" s="518">
        <v>30</v>
      </c>
      <c r="K13" s="518"/>
      <c r="L13" s="303"/>
      <c r="M13" s="303"/>
      <c r="N13" s="303"/>
      <c r="O13" s="303"/>
      <c r="P13" s="518"/>
      <c r="Q13" s="518"/>
      <c r="R13" s="518"/>
      <c r="S13" s="518"/>
      <c r="T13" s="518"/>
    </row>
    <row r="14" spans="1:21" x14ac:dyDescent="0.2">
      <c r="A14" s="295">
        <v>7</v>
      </c>
      <c r="B14" s="301" t="s">
        <v>194</v>
      </c>
      <c r="C14" s="302" t="s">
        <v>666</v>
      </c>
      <c r="D14" s="298">
        <f t="shared" si="0"/>
        <v>105</v>
      </c>
      <c r="E14" s="518"/>
      <c r="F14" s="518"/>
      <c r="G14" s="299"/>
      <c r="H14" s="299"/>
      <c r="I14" s="518"/>
      <c r="J14" s="518">
        <v>100</v>
      </c>
      <c r="K14" s="518">
        <v>5</v>
      </c>
      <c r="L14" s="303"/>
      <c r="M14" s="303"/>
      <c r="N14" s="303"/>
      <c r="O14" s="303"/>
      <c r="P14" s="518"/>
      <c r="Q14" s="518"/>
      <c r="R14" s="518"/>
      <c r="S14" s="518"/>
      <c r="T14" s="518"/>
    </row>
    <row r="15" spans="1:21" x14ac:dyDescent="0.2">
      <c r="A15" s="295">
        <v>8</v>
      </c>
      <c r="B15" s="296" t="s">
        <v>18</v>
      </c>
      <c r="C15" s="302" t="s">
        <v>667</v>
      </c>
      <c r="D15" s="298">
        <f t="shared" si="0"/>
        <v>30</v>
      </c>
      <c r="E15" s="518"/>
      <c r="F15" s="518"/>
      <c r="G15" s="299"/>
      <c r="H15" s="299"/>
      <c r="I15" s="518"/>
      <c r="J15" s="518">
        <v>30</v>
      </c>
      <c r="K15" s="518"/>
      <c r="L15" s="303"/>
      <c r="M15" s="303"/>
      <c r="N15" s="303"/>
      <c r="O15" s="303"/>
      <c r="P15" s="518"/>
      <c r="Q15" s="518"/>
      <c r="R15" s="518"/>
      <c r="S15" s="518"/>
      <c r="T15" s="518"/>
    </row>
    <row r="16" spans="1:21" ht="13.5" customHeight="1" x14ac:dyDescent="0.2">
      <c r="A16" s="295">
        <v>9</v>
      </c>
      <c r="B16" s="301" t="s">
        <v>92</v>
      </c>
      <c r="C16" s="297" t="s">
        <v>668</v>
      </c>
      <c r="D16" s="298">
        <f t="shared" si="0"/>
        <v>250</v>
      </c>
      <c r="E16" s="518"/>
      <c r="F16" s="518"/>
      <c r="G16" s="518"/>
      <c r="H16" s="518"/>
      <c r="I16" s="518">
        <v>150</v>
      </c>
      <c r="J16" s="518"/>
      <c r="K16" s="518"/>
      <c r="L16" s="303"/>
      <c r="M16" s="303"/>
      <c r="N16" s="303">
        <v>100</v>
      </c>
      <c r="O16" s="303"/>
      <c r="P16" s="518"/>
      <c r="Q16" s="518"/>
      <c r="R16" s="518"/>
      <c r="S16" s="518"/>
      <c r="T16" s="518"/>
    </row>
    <row r="17" spans="1:20" s="293" customFormat="1" ht="13.5" customHeight="1" x14ac:dyDescent="0.2">
      <c r="A17" s="295">
        <v>10</v>
      </c>
      <c r="B17" s="535" t="s">
        <v>32</v>
      </c>
      <c r="C17" s="534" t="s">
        <v>33</v>
      </c>
      <c r="D17" s="298">
        <f t="shared" si="0"/>
        <v>25</v>
      </c>
      <c r="E17" s="518"/>
      <c r="F17" s="518"/>
      <c r="G17" s="518"/>
      <c r="H17" s="518">
        <v>5</v>
      </c>
      <c r="I17" s="518">
        <v>9</v>
      </c>
      <c r="J17" s="518"/>
      <c r="K17" s="518"/>
      <c r="L17" s="303"/>
      <c r="M17" s="303">
        <v>6</v>
      </c>
      <c r="N17" s="303">
        <v>5</v>
      </c>
      <c r="O17" s="303"/>
      <c r="P17" s="518"/>
      <c r="Q17" s="518"/>
      <c r="R17" s="518"/>
      <c r="S17" s="518"/>
      <c r="T17" s="518"/>
    </row>
    <row r="18" spans="1:20" s="293" customFormat="1" ht="12" customHeight="1" x14ac:dyDescent="0.2">
      <c r="A18" s="295">
        <v>11</v>
      </c>
      <c r="B18" s="296" t="s">
        <v>244</v>
      </c>
      <c r="C18" s="297" t="s">
        <v>245</v>
      </c>
      <c r="D18" s="298">
        <f t="shared" si="0"/>
        <v>158068</v>
      </c>
      <c r="E18" s="518">
        <v>837</v>
      </c>
      <c r="F18" s="518"/>
      <c r="G18" s="518"/>
      <c r="H18" s="518"/>
      <c r="I18" s="518"/>
      <c r="J18" s="518"/>
      <c r="K18" s="518"/>
      <c r="L18" s="303"/>
      <c r="M18" s="303"/>
      <c r="N18" s="303"/>
      <c r="O18" s="303"/>
      <c r="P18" s="518"/>
      <c r="Q18" s="518">
        <v>121946</v>
      </c>
      <c r="R18" s="518">
        <v>26916</v>
      </c>
      <c r="S18" s="518">
        <v>7724</v>
      </c>
      <c r="T18" s="518">
        <v>645</v>
      </c>
    </row>
    <row r="19" spans="1:20" s="293" customFormat="1" x14ac:dyDescent="0.2">
      <c r="A19" s="295">
        <v>12</v>
      </c>
      <c r="B19" s="301" t="s">
        <v>232</v>
      </c>
      <c r="C19" s="302" t="s">
        <v>669</v>
      </c>
      <c r="D19" s="298">
        <f t="shared" si="0"/>
        <v>36268</v>
      </c>
      <c r="E19" s="518">
        <v>50</v>
      </c>
      <c r="F19" s="518"/>
      <c r="G19" s="518"/>
      <c r="H19" s="518"/>
      <c r="I19" s="518"/>
      <c r="J19" s="518"/>
      <c r="K19" s="518"/>
      <c r="L19" s="303"/>
      <c r="M19" s="303"/>
      <c r="N19" s="303"/>
      <c r="O19" s="303"/>
      <c r="P19" s="518"/>
      <c r="Q19" s="518">
        <v>27073</v>
      </c>
      <c r="R19" s="518">
        <v>9145</v>
      </c>
      <c r="S19" s="518"/>
      <c r="T19" s="518"/>
    </row>
    <row r="20" spans="1:20" s="293" customFormat="1" x14ac:dyDescent="0.2">
      <c r="A20" s="295">
        <v>13</v>
      </c>
      <c r="B20" s="296" t="s">
        <v>262</v>
      </c>
      <c r="C20" s="302" t="s">
        <v>263</v>
      </c>
      <c r="D20" s="298">
        <f t="shared" si="0"/>
        <v>41740</v>
      </c>
      <c r="E20" s="518">
        <v>120</v>
      </c>
      <c r="F20" s="518">
        <v>120</v>
      </c>
      <c r="G20" s="518"/>
      <c r="H20" s="518"/>
      <c r="I20" s="518"/>
      <c r="J20" s="518"/>
      <c r="K20" s="518"/>
      <c r="L20" s="303"/>
      <c r="M20" s="303"/>
      <c r="N20" s="303"/>
      <c r="O20" s="303"/>
      <c r="P20" s="518">
        <v>7379</v>
      </c>
      <c r="Q20" s="518">
        <f>25300+2496</f>
        <v>27796</v>
      </c>
      <c r="R20" s="518">
        <v>6325</v>
      </c>
      <c r="S20" s="518"/>
      <c r="T20" s="518"/>
    </row>
    <row r="21" spans="1:20" s="293" customFormat="1" x14ac:dyDescent="0.2">
      <c r="A21" s="295"/>
      <c r="B21" s="306"/>
      <c r="C21" s="307" t="s">
        <v>413</v>
      </c>
      <c r="D21" s="298">
        <f t="shared" ref="D21:T21" si="1">SUM(D8:D20)</f>
        <v>242737</v>
      </c>
      <c r="E21" s="298">
        <f t="shared" si="1"/>
        <v>1007</v>
      </c>
      <c r="F21" s="298">
        <f t="shared" si="1"/>
        <v>120</v>
      </c>
      <c r="G21" s="298">
        <f t="shared" si="1"/>
        <v>40</v>
      </c>
      <c r="H21" s="298">
        <f t="shared" si="1"/>
        <v>5</v>
      </c>
      <c r="I21" s="298">
        <f t="shared" si="1"/>
        <v>619</v>
      </c>
      <c r="J21" s="298">
        <f t="shared" si="1"/>
        <v>401</v>
      </c>
      <c r="K21" s="298">
        <f t="shared" si="1"/>
        <v>19</v>
      </c>
      <c r="L21" s="298">
        <f t="shared" si="1"/>
        <v>630</v>
      </c>
      <c r="M21" s="298"/>
      <c r="N21" s="298">
        <f t="shared" si="1"/>
        <v>1075</v>
      </c>
      <c r="O21" s="298">
        <f t="shared" si="1"/>
        <v>50</v>
      </c>
      <c r="P21" s="298">
        <f t="shared" si="1"/>
        <v>7379</v>
      </c>
      <c r="Q21" s="298">
        <f t="shared" si="1"/>
        <v>177619</v>
      </c>
      <c r="R21" s="298">
        <f t="shared" si="1"/>
        <v>42674</v>
      </c>
      <c r="S21" s="298">
        <f t="shared" si="1"/>
        <v>7874</v>
      </c>
      <c r="T21" s="298">
        <f t="shared" si="1"/>
        <v>3219</v>
      </c>
    </row>
    <row r="22" spans="1:20" s="293" customFormat="1" ht="22.5" x14ac:dyDescent="0.2">
      <c r="A22" s="294"/>
      <c r="B22" s="294"/>
      <c r="C22" s="297" t="s">
        <v>670</v>
      </c>
      <c r="D22" s="298">
        <f>SUM(E22:T22)</f>
        <v>5480</v>
      </c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303">
        <v>5480</v>
      </c>
      <c r="R22" s="298"/>
      <c r="S22" s="298"/>
      <c r="T22" s="298"/>
    </row>
    <row r="23" spans="1:20" s="293" customFormat="1" ht="21" x14ac:dyDescent="0.2">
      <c r="A23" s="294"/>
      <c r="B23" s="294"/>
      <c r="C23" s="308" t="s">
        <v>671</v>
      </c>
      <c r="D23" s="298">
        <f>D21+D22</f>
        <v>248217</v>
      </c>
      <c r="E23" s="298">
        <f t="shared" ref="E23:T23" si="2">E21+E22</f>
        <v>1007</v>
      </c>
      <c r="F23" s="298">
        <f t="shared" si="2"/>
        <v>120</v>
      </c>
      <c r="G23" s="298">
        <f t="shared" si="2"/>
        <v>40</v>
      </c>
      <c r="H23" s="298">
        <f t="shared" si="2"/>
        <v>5</v>
      </c>
      <c r="I23" s="298">
        <f t="shared" si="2"/>
        <v>619</v>
      </c>
      <c r="J23" s="298">
        <f t="shared" si="2"/>
        <v>401</v>
      </c>
      <c r="K23" s="298">
        <f t="shared" si="2"/>
        <v>19</v>
      </c>
      <c r="L23" s="298">
        <f t="shared" si="2"/>
        <v>630</v>
      </c>
      <c r="M23" s="298"/>
      <c r="N23" s="298">
        <f t="shared" si="2"/>
        <v>1075</v>
      </c>
      <c r="O23" s="298">
        <f t="shared" si="2"/>
        <v>50</v>
      </c>
      <c r="P23" s="298">
        <f t="shared" si="2"/>
        <v>7379</v>
      </c>
      <c r="Q23" s="298">
        <f t="shared" si="2"/>
        <v>183099</v>
      </c>
      <c r="R23" s="298">
        <f t="shared" si="2"/>
        <v>42674</v>
      </c>
      <c r="S23" s="298">
        <f t="shared" si="2"/>
        <v>7874</v>
      </c>
      <c r="T23" s="298">
        <f t="shared" si="2"/>
        <v>3219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331" customWidth="1"/>
    <col min="2" max="2" width="11.28515625" style="331" customWidth="1"/>
    <col min="3" max="3" width="51.85546875" style="345" customWidth="1"/>
    <col min="4" max="4" width="14.140625" style="331" customWidth="1"/>
    <col min="5" max="5" width="13.7109375" style="331" customWidth="1"/>
    <col min="6" max="16384" width="9.140625" style="331"/>
  </cols>
  <sheetData>
    <row r="1" spans="1:7" ht="39.75" customHeight="1" x14ac:dyDescent="0.25">
      <c r="A1" s="1205" t="s">
        <v>684</v>
      </c>
      <c r="B1" s="1206"/>
      <c r="C1" s="1206"/>
      <c r="D1" s="1206"/>
      <c r="E1" s="1206"/>
      <c r="F1" s="330"/>
      <c r="G1" s="330"/>
    </row>
    <row r="3" spans="1:7" ht="31.5" customHeight="1" x14ac:dyDescent="0.25">
      <c r="A3" s="332" t="s">
        <v>0</v>
      </c>
      <c r="B3" s="332" t="s">
        <v>1</v>
      </c>
      <c r="C3" s="332" t="s">
        <v>2</v>
      </c>
      <c r="D3" s="332" t="s">
        <v>685</v>
      </c>
      <c r="E3" s="332" t="s">
        <v>686</v>
      </c>
    </row>
    <row r="4" spans="1:7" ht="45" customHeight="1" x14ac:dyDescent="0.25">
      <c r="A4" s="1207" t="s">
        <v>687</v>
      </c>
      <c r="B4" s="1208"/>
      <c r="C4" s="1209"/>
      <c r="D4" s="333">
        <f>SUM(D5:D6)</f>
        <v>2717</v>
      </c>
      <c r="E4" s="334"/>
    </row>
    <row r="5" spans="1:7" ht="18.75" customHeight="1" x14ac:dyDescent="0.25">
      <c r="A5" s="335">
        <v>1</v>
      </c>
      <c r="B5" s="329" t="s">
        <v>258</v>
      </c>
      <c r="C5" s="336" t="s">
        <v>259</v>
      </c>
      <c r="D5" s="337">
        <v>1708</v>
      </c>
      <c r="E5" s="335"/>
    </row>
    <row r="6" spans="1:7" ht="18.75" customHeight="1" x14ac:dyDescent="0.25">
      <c r="A6" s="335">
        <v>2</v>
      </c>
      <c r="B6" s="338" t="s">
        <v>542</v>
      </c>
      <c r="C6" s="336" t="s">
        <v>543</v>
      </c>
      <c r="D6" s="337">
        <v>1009</v>
      </c>
      <c r="E6" s="335"/>
    </row>
    <row r="7" spans="1:7" ht="35.25" customHeight="1" x14ac:dyDescent="0.25">
      <c r="A7" s="1210" t="s">
        <v>688</v>
      </c>
      <c r="B7" s="1210"/>
      <c r="C7" s="1210"/>
      <c r="D7" s="335"/>
      <c r="E7" s="339">
        <f>SUM(E9:E10)</f>
        <v>363</v>
      </c>
    </row>
    <row r="8" spans="1:7" ht="20.25" customHeight="1" x14ac:dyDescent="0.25">
      <c r="A8" s="1211">
        <v>1</v>
      </c>
      <c r="B8" s="1212" t="s">
        <v>290</v>
      </c>
      <c r="C8" s="336" t="s">
        <v>291</v>
      </c>
      <c r="D8" s="339"/>
      <c r="E8" s="335"/>
    </row>
    <row r="9" spans="1:7" ht="20.25" customHeight="1" x14ac:dyDescent="0.25">
      <c r="A9" s="1211"/>
      <c r="B9" s="1213"/>
      <c r="C9" s="340" t="s">
        <v>689</v>
      </c>
      <c r="D9" s="335"/>
      <c r="E9" s="335">
        <v>57</v>
      </c>
    </row>
    <row r="10" spans="1:7" ht="20.25" customHeight="1" x14ac:dyDescent="0.25">
      <c r="A10" s="1211"/>
      <c r="B10" s="1214"/>
      <c r="C10" s="340" t="s">
        <v>690</v>
      </c>
      <c r="D10" s="335"/>
      <c r="E10" s="335">
        <v>306</v>
      </c>
    </row>
    <row r="11" spans="1:7" x14ac:dyDescent="0.2">
      <c r="A11" s="341"/>
      <c r="B11" s="342"/>
      <c r="C11" s="342"/>
      <c r="D11" s="343"/>
      <c r="E11" s="344"/>
    </row>
    <row r="12" spans="1:7" x14ac:dyDescent="0.25">
      <c r="D12" s="346"/>
      <c r="E12" s="346"/>
    </row>
    <row r="13" spans="1:7" x14ac:dyDescent="0.25">
      <c r="D13" s="346"/>
      <c r="E13" s="346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07" customWidth="1"/>
    <col min="2" max="2" width="9.140625" style="107"/>
    <col min="3" max="3" width="34.140625" style="107" customWidth="1"/>
    <col min="4" max="4" width="19.7109375" style="107" customWidth="1"/>
    <col min="5" max="5" width="16.42578125" style="107" customWidth="1"/>
    <col min="6" max="6" width="12.5703125" style="107" customWidth="1"/>
    <col min="7" max="7" width="11.28515625" style="107" customWidth="1"/>
    <col min="8" max="8" width="11.5703125" style="107" customWidth="1"/>
    <col min="9" max="9" width="12.28515625" style="107" customWidth="1"/>
    <col min="10" max="16384" width="9.140625" style="107"/>
  </cols>
  <sheetData>
    <row r="1" spans="1:9" ht="24.75" customHeight="1" x14ac:dyDescent="0.25">
      <c r="A1" s="1224" t="s">
        <v>691</v>
      </c>
      <c r="B1" s="1225"/>
      <c r="C1" s="1225"/>
      <c r="D1" s="1225"/>
      <c r="E1" s="1225"/>
      <c r="F1" s="1225"/>
      <c r="G1" s="1225"/>
      <c r="H1" s="1225"/>
      <c r="I1" s="1225"/>
    </row>
    <row r="2" spans="1:9" ht="15.75" thickBot="1" x14ac:dyDescent="0.3">
      <c r="A2" s="347"/>
      <c r="B2" s="347"/>
      <c r="C2" s="347"/>
      <c r="D2" s="348"/>
      <c r="E2" s="348"/>
      <c r="F2" s="349"/>
      <c r="G2" s="348"/>
      <c r="H2" s="348"/>
      <c r="I2" s="348"/>
    </row>
    <row r="3" spans="1:9" x14ac:dyDescent="0.25">
      <c r="A3" s="1226" t="s">
        <v>0</v>
      </c>
      <c r="B3" s="1229" t="s">
        <v>692</v>
      </c>
      <c r="C3" s="1232" t="s">
        <v>2</v>
      </c>
      <c r="D3" s="1235" t="s">
        <v>693</v>
      </c>
      <c r="E3" s="1236"/>
      <c r="F3" s="1239" t="s">
        <v>694</v>
      </c>
      <c r="G3" s="1240"/>
      <c r="H3" s="1242" t="s">
        <v>695</v>
      </c>
      <c r="I3" s="1240"/>
    </row>
    <row r="4" spans="1:9" x14ac:dyDescent="0.25">
      <c r="A4" s="1227"/>
      <c r="B4" s="1230"/>
      <c r="C4" s="1233"/>
      <c r="D4" s="1237"/>
      <c r="E4" s="1238"/>
      <c r="F4" s="1241"/>
      <c r="G4" s="1238"/>
      <c r="H4" s="1237"/>
      <c r="I4" s="1238"/>
    </row>
    <row r="5" spans="1:9" x14ac:dyDescent="0.25">
      <c r="A5" s="1227"/>
      <c r="B5" s="1230"/>
      <c r="C5" s="1233"/>
      <c r="D5" s="1243" t="s">
        <v>440</v>
      </c>
      <c r="E5" s="1245" t="s">
        <v>696</v>
      </c>
      <c r="F5" s="1247" t="s">
        <v>697</v>
      </c>
      <c r="G5" s="1249" t="s">
        <v>698</v>
      </c>
      <c r="H5" s="1251" t="s">
        <v>699</v>
      </c>
      <c r="I5" s="1249" t="s">
        <v>700</v>
      </c>
    </row>
    <row r="6" spans="1:9" ht="27" customHeight="1" thickBot="1" x14ac:dyDescent="0.3">
      <c r="A6" s="1228"/>
      <c r="B6" s="1231"/>
      <c r="C6" s="1234"/>
      <c r="D6" s="1244"/>
      <c r="E6" s="1246"/>
      <c r="F6" s="1248"/>
      <c r="G6" s="1250"/>
      <c r="H6" s="1252"/>
      <c r="I6" s="1250"/>
    </row>
    <row r="7" spans="1:9" x14ac:dyDescent="0.25">
      <c r="A7" s="1215" t="s">
        <v>44</v>
      </c>
      <c r="B7" s="1216"/>
      <c r="C7" s="1217"/>
      <c r="D7" s="350">
        <f t="shared" ref="D7:I7" si="0">SUM(D8:D145)</f>
        <v>301334</v>
      </c>
      <c r="E7" s="351">
        <f t="shared" si="0"/>
        <v>9338</v>
      </c>
      <c r="F7" s="352">
        <f t="shared" si="0"/>
        <v>746</v>
      </c>
      <c r="G7" s="353">
        <f t="shared" si="0"/>
        <v>11187</v>
      </c>
      <c r="H7" s="352">
        <f t="shared" si="0"/>
        <v>676</v>
      </c>
      <c r="I7" s="353">
        <f t="shared" si="0"/>
        <v>7440</v>
      </c>
    </row>
    <row r="8" spans="1:9" x14ac:dyDescent="0.25">
      <c r="A8" s="354">
        <v>1</v>
      </c>
      <c r="B8" s="355" t="s">
        <v>54</v>
      </c>
      <c r="C8" s="356" t="s">
        <v>55</v>
      </c>
      <c r="D8" s="357">
        <v>1628</v>
      </c>
      <c r="E8" s="358"/>
      <c r="F8" s="359"/>
      <c r="G8" s="360"/>
      <c r="H8" s="361"/>
      <c r="I8" s="360"/>
    </row>
    <row r="9" spans="1:9" x14ac:dyDescent="0.25">
      <c r="A9" s="354">
        <v>2</v>
      </c>
      <c r="B9" s="362" t="s">
        <v>56</v>
      </c>
      <c r="C9" s="363" t="s">
        <v>57</v>
      </c>
      <c r="D9" s="364">
        <v>2400</v>
      </c>
      <c r="E9" s="365"/>
      <c r="F9" s="359"/>
      <c r="G9" s="365"/>
      <c r="H9" s="361"/>
      <c r="I9" s="360"/>
    </row>
    <row r="10" spans="1:9" x14ac:dyDescent="0.25">
      <c r="A10" s="354">
        <v>3</v>
      </c>
      <c r="B10" s="366" t="s">
        <v>16</v>
      </c>
      <c r="C10" s="363" t="s">
        <v>17</v>
      </c>
      <c r="D10" s="364">
        <v>4717</v>
      </c>
      <c r="E10" s="365"/>
      <c r="F10" s="359"/>
      <c r="G10" s="365"/>
      <c r="H10" s="361"/>
      <c r="I10" s="360"/>
    </row>
    <row r="11" spans="1:9" x14ac:dyDescent="0.25">
      <c r="A11" s="354">
        <v>4</v>
      </c>
      <c r="B11" s="355" t="s">
        <v>58</v>
      </c>
      <c r="C11" s="363" t="s">
        <v>59</v>
      </c>
      <c r="D11" s="364">
        <v>1900</v>
      </c>
      <c r="E11" s="365"/>
      <c r="F11" s="359"/>
      <c r="G11" s="365"/>
      <c r="H11" s="361"/>
      <c r="I11" s="360"/>
    </row>
    <row r="12" spans="1:9" ht="12.75" customHeight="1" x14ac:dyDescent="0.25">
      <c r="A12" s="354">
        <v>5</v>
      </c>
      <c r="B12" s="355" t="s">
        <v>60</v>
      </c>
      <c r="C12" s="363" t="s">
        <v>61</v>
      </c>
      <c r="D12" s="364">
        <v>1530</v>
      </c>
      <c r="E12" s="365"/>
      <c r="F12" s="359"/>
      <c r="G12" s="365"/>
      <c r="H12" s="361"/>
      <c r="I12" s="360"/>
    </row>
    <row r="13" spans="1:9" x14ac:dyDescent="0.25">
      <c r="A13" s="354">
        <v>6</v>
      </c>
      <c r="B13" s="366" t="s">
        <v>18</v>
      </c>
      <c r="C13" s="363" t="s">
        <v>19</v>
      </c>
      <c r="D13" s="364">
        <v>10956</v>
      </c>
      <c r="E13" s="365">
        <v>81</v>
      </c>
      <c r="F13" s="359"/>
      <c r="G13" s="365"/>
      <c r="H13" s="361">
        <v>282</v>
      </c>
      <c r="I13" s="360">
        <v>3100</v>
      </c>
    </row>
    <row r="14" spans="1:9" x14ac:dyDescent="0.25">
      <c r="A14" s="354">
        <v>7</v>
      </c>
      <c r="B14" s="355" t="s">
        <v>62</v>
      </c>
      <c r="C14" s="363" t="s">
        <v>63</v>
      </c>
      <c r="D14" s="364">
        <v>4500</v>
      </c>
      <c r="E14" s="365"/>
      <c r="F14" s="359"/>
      <c r="G14" s="365"/>
      <c r="H14" s="361"/>
      <c r="I14" s="360"/>
    </row>
    <row r="15" spans="1:9" x14ac:dyDescent="0.25">
      <c r="A15" s="354">
        <v>8</v>
      </c>
      <c r="B15" s="366" t="s">
        <v>64</v>
      </c>
      <c r="C15" s="363" t="s">
        <v>65</v>
      </c>
      <c r="D15" s="364">
        <v>1926</v>
      </c>
      <c r="E15" s="365"/>
      <c r="F15" s="359"/>
      <c r="G15" s="365"/>
      <c r="H15" s="361"/>
      <c r="I15" s="360"/>
    </row>
    <row r="16" spans="1:9" x14ac:dyDescent="0.25">
      <c r="A16" s="354">
        <v>9</v>
      </c>
      <c r="B16" s="366" t="s">
        <v>66</v>
      </c>
      <c r="C16" s="363" t="s">
        <v>67</v>
      </c>
      <c r="D16" s="364">
        <v>2369</v>
      </c>
      <c r="E16" s="365"/>
      <c r="F16" s="359"/>
      <c r="G16" s="365"/>
      <c r="H16" s="361"/>
      <c r="I16" s="360"/>
    </row>
    <row r="17" spans="1:9" x14ac:dyDescent="0.25">
      <c r="A17" s="354">
        <v>10</v>
      </c>
      <c r="B17" s="366" t="s">
        <v>68</v>
      </c>
      <c r="C17" s="363" t="s">
        <v>69</v>
      </c>
      <c r="D17" s="364">
        <v>2344</v>
      </c>
      <c r="E17" s="365"/>
      <c r="F17" s="359"/>
      <c r="G17" s="365"/>
      <c r="H17" s="361"/>
      <c r="I17" s="360"/>
    </row>
    <row r="18" spans="1:9" x14ac:dyDescent="0.25">
      <c r="A18" s="354">
        <v>11</v>
      </c>
      <c r="B18" s="366" t="s">
        <v>70</v>
      </c>
      <c r="C18" s="363" t="s">
        <v>71</v>
      </c>
      <c r="D18" s="364">
        <v>1675</v>
      </c>
      <c r="E18" s="365"/>
      <c r="F18" s="359"/>
      <c r="G18" s="365"/>
      <c r="H18" s="361"/>
      <c r="I18" s="360"/>
    </row>
    <row r="19" spans="1:9" x14ac:dyDescent="0.25">
      <c r="A19" s="354">
        <v>12</v>
      </c>
      <c r="B19" s="366" t="s">
        <v>72</v>
      </c>
      <c r="C19" s="363" t="s">
        <v>73</v>
      </c>
      <c r="D19" s="364">
        <v>3183</v>
      </c>
      <c r="E19" s="365"/>
      <c r="F19" s="359"/>
      <c r="G19" s="365"/>
      <c r="H19" s="361"/>
      <c r="I19" s="360"/>
    </row>
    <row r="20" spans="1:9" ht="12.75" customHeight="1" x14ac:dyDescent="0.25">
      <c r="A20" s="354">
        <v>13</v>
      </c>
      <c r="B20" s="366" t="s">
        <v>74</v>
      </c>
      <c r="C20" s="363" t="s">
        <v>75</v>
      </c>
      <c r="D20" s="364"/>
      <c r="E20" s="365"/>
      <c r="F20" s="359"/>
      <c r="G20" s="365"/>
      <c r="H20" s="361"/>
      <c r="I20" s="360"/>
    </row>
    <row r="21" spans="1:9" x14ac:dyDescent="0.25">
      <c r="A21" s="354">
        <v>14</v>
      </c>
      <c r="B21" s="366" t="s">
        <v>76</v>
      </c>
      <c r="C21" s="363" t="s">
        <v>77</v>
      </c>
      <c r="D21" s="364">
        <v>2755</v>
      </c>
      <c r="E21" s="365"/>
      <c r="F21" s="359"/>
      <c r="G21" s="365"/>
      <c r="H21" s="361"/>
      <c r="I21" s="360"/>
    </row>
    <row r="22" spans="1:9" x14ac:dyDescent="0.25">
      <c r="A22" s="354">
        <v>15</v>
      </c>
      <c r="B22" s="366" t="s">
        <v>78</v>
      </c>
      <c r="C22" s="363" t="s">
        <v>79</v>
      </c>
      <c r="D22" s="364">
        <v>4455</v>
      </c>
      <c r="E22" s="365"/>
      <c r="F22" s="359"/>
      <c r="G22" s="365"/>
      <c r="H22" s="361"/>
      <c r="I22" s="360"/>
    </row>
    <row r="23" spans="1:9" x14ac:dyDescent="0.25">
      <c r="A23" s="354">
        <v>16</v>
      </c>
      <c r="B23" s="366" t="s">
        <v>80</v>
      </c>
      <c r="C23" s="363" t="s">
        <v>81</v>
      </c>
      <c r="D23" s="364">
        <v>3845</v>
      </c>
      <c r="E23" s="365"/>
      <c r="F23" s="359"/>
      <c r="G23" s="365"/>
      <c r="H23" s="361"/>
      <c r="I23" s="360"/>
    </row>
    <row r="24" spans="1:9" x14ac:dyDescent="0.25">
      <c r="A24" s="354">
        <v>17</v>
      </c>
      <c r="B24" s="366" t="s">
        <v>20</v>
      </c>
      <c r="C24" s="363" t="s">
        <v>21</v>
      </c>
      <c r="D24" s="364">
        <v>10114</v>
      </c>
      <c r="E24" s="365">
        <v>81</v>
      </c>
      <c r="F24" s="359"/>
      <c r="G24" s="365"/>
      <c r="H24" s="361">
        <v>113</v>
      </c>
      <c r="I24" s="360">
        <v>1240</v>
      </c>
    </row>
    <row r="25" spans="1:9" x14ac:dyDescent="0.25">
      <c r="A25" s="354">
        <v>18</v>
      </c>
      <c r="B25" s="355" t="s">
        <v>82</v>
      </c>
      <c r="C25" s="363" t="s">
        <v>83</v>
      </c>
      <c r="D25" s="364">
        <v>1051</v>
      </c>
      <c r="E25" s="365"/>
      <c r="F25" s="359"/>
      <c r="G25" s="365"/>
      <c r="H25" s="361"/>
      <c r="I25" s="360"/>
    </row>
    <row r="26" spans="1:9" x14ac:dyDescent="0.25">
      <c r="A26" s="354">
        <v>19</v>
      </c>
      <c r="B26" s="355" t="s">
        <v>84</v>
      </c>
      <c r="C26" s="363" t="s">
        <v>85</v>
      </c>
      <c r="D26" s="364">
        <v>1970</v>
      </c>
      <c r="E26" s="365"/>
      <c r="F26" s="359"/>
      <c r="G26" s="365"/>
      <c r="H26" s="361"/>
      <c r="I26" s="360"/>
    </row>
    <row r="27" spans="1:9" x14ac:dyDescent="0.25">
      <c r="A27" s="354">
        <v>20</v>
      </c>
      <c r="B27" s="355" t="s">
        <v>86</v>
      </c>
      <c r="C27" s="363" t="s">
        <v>87</v>
      </c>
      <c r="D27" s="364">
        <v>6944</v>
      </c>
      <c r="E27" s="365"/>
      <c r="F27" s="359"/>
      <c r="G27" s="365"/>
      <c r="H27" s="361">
        <v>28</v>
      </c>
      <c r="I27" s="360">
        <v>310</v>
      </c>
    </row>
    <row r="28" spans="1:9" x14ac:dyDescent="0.25">
      <c r="A28" s="354">
        <v>21</v>
      </c>
      <c r="B28" s="355" t="s">
        <v>22</v>
      </c>
      <c r="C28" s="363" t="s">
        <v>23</v>
      </c>
      <c r="D28" s="364">
        <v>4592</v>
      </c>
      <c r="E28" s="365">
        <v>81</v>
      </c>
      <c r="F28" s="359"/>
      <c r="G28" s="365"/>
      <c r="H28" s="361"/>
      <c r="I28" s="360"/>
    </row>
    <row r="29" spans="1:9" ht="13.5" customHeight="1" x14ac:dyDescent="0.25">
      <c r="A29" s="367">
        <v>22</v>
      </c>
      <c r="B29" s="366" t="s">
        <v>24</v>
      </c>
      <c r="C29" s="363" t="s">
        <v>25</v>
      </c>
      <c r="D29" s="364"/>
      <c r="E29" s="365"/>
      <c r="F29" s="359"/>
      <c r="G29" s="365"/>
      <c r="H29" s="361"/>
      <c r="I29" s="360"/>
    </row>
    <row r="30" spans="1:9" x14ac:dyDescent="0.25">
      <c r="A30" s="354">
        <v>23</v>
      </c>
      <c r="B30" s="366" t="s">
        <v>88</v>
      </c>
      <c r="C30" s="363" t="s">
        <v>89</v>
      </c>
      <c r="D30" s="364"/>
      <c r="E30" s="365"/>
      <c r="F30" s="359"/>
      <c r="G30" s="365"/>
      <c r="H30" s="361"/>
      <c r="I30" s="360"/>
    </row>
    <row r="31" spans="1:9" ht="25.5" x14ac:dyDescent="0.25">
      <c r="A31" s="354">
        <v>24</v>
      </c>
      <c r="B31" s="366" t="s">
        <v>90</v>
      </c>
      <c r="C31" s="363" t="s">
        <v>91</v>
      </c>
      <c r="D31" s="364"/>
      <c r="E31" s="365"/>
      <c r="F31" s="359"/>
      <c r="G31" s="365"/>
      <c r="H31" s="361"/>
      <c r="I31" s="360"/>
    </row>
    <row r="32" spans="1:9" x14ac:dyDescent="0.25">
      <c r="A32" s="354">
        <v>25</v>
      </c>
      <c r="B32" s="355" t="s">
        <v>92</v>
      </c>
      <c r="C32" s="363" t="s">
        <v>93</v>
      </c>
      <c r="D32" s="364">
        <v>6514</v>
      </c>
      <c r="E32" s="365"/>
      <c r="F32" s="359"/>
      <c r="G32" s="365"/>
      <c r="H32" s="361"/>
      <c r="I32" s="360"/>
    </row>
    <row r="33" spans="1:9" x14ac:dyDescent="0.25">
      <c r="A33" s="354">
        <v>26</v>
      </c>
      <c r="B33" s="366" t="s">
        <v>94</v>
      </c>
      <c r="C33" s="363" t="s">
        <v>95</v>
      </c>
      <c r="D33" s="364"/>
      <c r="E33" s="365"/>
      <c r="F33" s="359"/>
      <c r="G33" s="365"/>
      <c r="H33" s="361"/>
      <c r="I33" s="360"/>
    </row>
    <row r="34" spans="1:9" x14ac:dyDescent="0.25">
      <c r="A34" s="354">
        <v>27</v>
      </c>
      <c r="B34" s="362" t="s">
        <v>96</v>
      </c>
      <c r="C34" s="363" t="s">
        <v>97</v>
      </c>
      <c r="D34" s="364"/>
      <c r="E34" s="365"/>
      <c r="F34" s="359"/>
      <c r="G34" s="365"/>
      <c r="H34" s="361"/>
      <c r="I34" s="360"/>
    </row>
    <row r="35" spans="1:9" x14ac:dyDescent="0.25">
      <c r="A35" s="328">
        <v>28</v>
      </c>
      <c r="B35" s="362" t="s">
        <v>26</v>
      </c>
      <c r="C35" s="363" t="s">
        <v>27</v>
      </c>
      <c r="D35" s="364">
        <v>6325</v>
      </c>
      <c r="E35" s="365">
        <v>81</v>
      </c>
      <c r="F35" s="359"/>
      <c r="G35" s="365"/>
      <c r="H35" s="361"/>
      <c r="I35" s="360"/>
    </row>
    <row r="36" spans="1:9" x14ac:dyDescent="0.25">
      <c r="A36" s="328">
        <v>29</v>
      </c>
      <c r="B36" s="355" t="s">
        <v>98</v>
      </c>
      <c r="C36" s="363" t="s">
        <v>99</v>
      </c>
      <c r="D36" s="364"/>
      <c r="E36" s="365"/>
      <c r="F36" s="359"/>
      <c r="G36" s="365"/>
      <c r="H36" s="361"/>
      <c r="I36" s="360"/>
    </row>
    <row r="37" spans="1:9" x14ac:dyDescent="0.25">
      <c r="A37" s="328">
        <v>30</v>
      </c>
      <c r="B37" s="362" t="s">
        <v>100</v>
      </c>
      <c r="C37" s="363" t="s">
        <v>101</v>
      </c>
      <c r="D37" s="364">
        <v>2866</v>
      </c>
      <c r="E37" s="365"/>
      <c r="F37" s="359"/>
      <c r="G37" s="365"/>
      <c r="H37" s="361"/>
      <c r="I37" s="360"/>
    </row>
    <row r="38" spans="1:9" x14ac:dyDescent="0.25">
      <c r="A38" s="328">
        <v>31</v>
      </c>
      <c r="B38" s="366" t="s">
        <v>102</v>
      </c>
      <c r="C38" s="363" t="s">
        <v>103</v>
      </c>
      <c r="D38" s="364">
        <v>8011</v>
      </c>
      <c r="E38" s="365"/>
      <c r="F38" s="359"/>
      <c r="G38" s="365"/>
      <c r="H38" s="361"/>
      <c r="I38" s="360"/>
    </row>
    <row r="39" spans="1:9" x14ac:dyDescent="0.25">
      <c r="A39" s="328">
        <v>32</v>
      </c>
      <c r="B39" s="362" t="s">
        <v>104</v>
      </c>
      <c r="C39" s="363" t="s">
        <v>105</v>
      </c>
      <c r="D39" s="364">
        <v>2539</v>
      </c>
      <c r="E39" s="365"/>
      <c r="F39" s="359"/>
      <c r="G39" s="365"/>
      <c r="H39" s="361"/>
      <c r="I39" s="360"/>
    </row>
    <row r="40" spans="1:9" x14ac:dyDescent="0.25">
      <c r="A40" s="328">
        <v>33</v>
      </c>
      <c r="B40" s="355" t="s">
        <v>106</v>
      </c>
      <c r="C40" s="363" t="s">
        <v>107</v>
      </c>
      <c r="D40" s="364">
        <v>5969</v>
      </c>
      <c r="E40" s="365"/>
      <c r="F40" s="359"/>
      <c r="G40" s="365"/>
      <c r="H40" s="361"/>
      <c r="I40" s="360"/>
    </row>
    <row r="41" spans="1:9" x14ac:dyDescent="0.25">
      <c r="A41" s="328">
        <v>34</v>
      </c>
      <c r="B41" s="368" t="s">
        <v>108</v>
      </c>
      <c r="C41" s="327" t="s">
        <v>109</v>
      </c>
      <c r="D41" s="364">
        <v>2541</v>
      </c>
      <c r="E41" s="365"/>
      <c r="F41" s="359"/>
      <c r="G41" s="365"/>
      <c r="H41" s="361"/>
      <c r="I41" s="360"/>
    </row>
    <row r="42" spans="1:9" x14ac:dyDescent="0.25">
      <c r="A42" s="328">
        <v>35</v>
      </c>
      <c r="B42" s="355" t="s">
        <v>110</v>
      </c>
      <c r="C42" s="363" t="s">
        <v>111</v>
      </c>
      <c r="D42" s="364">
        <v>1291</v>
      </c>
      <c r="E42" s="365"/>
      <c r="F42" s="359"/>
      <c r="G42" s="365"/>
      <c r="H42" s="361"/>
      <c r="I42" s="360"/>
    </row>
    <row r="43" spans="1:9" x14ac:dyDescent="0.25">
      <c r="A43" s="328">
        <v>36</v>
      </c>
      <c r="B43" s="355" t="s">
        <v>112</v>
      </c>
      <c r="C43" s="363" t="s">
        <v>113</v>
      </c>
      <c r="D43" s="364">
        <v>2271</v>
      </c>
      <c r="E43" s="365"/>
      <c r="F43" s="359"/>
      <c r="G43" s="365"/>
      <c r="H43" s="361"/>
      <c r="I43" s="360"/>
    </row>
    <row r="44" spans="1:9" x14ac:dyDescent="0.25">
      <c r="A44" s="328">
        <v>37</v>
      </c>
      <c r="B44" s="366" t="s">
        <v>114</v>
      </c>
      <c r="C44" s="363" t="s">
        <v>115</v>
      </c>
      <c r="D44" s="364">
        <v>2065</v>
      </c>
      <c r="E44" s="365"/>
      <c r="F44" s="359"/>
      <c r="G44" s="365"/>
      <c r="H44" s="361"/>
      <c r="I44" s="360"/>
    </row>
    <row r="45" spans="1:9" x14ac:dyDescent="0.25">
      <c r="A45" s="328">
        <v>38</v>
      </c>
      <c r="B45" s="362" t="s">
        <v>116</v>
      </c>
      <c r="C45" s="363" t="s">
        <v>117</v>
      </c>
      <c r="D45" s="364"/>
      <c r="E45" s="365"/>
      <c r="F45" s="359"/>
      <c r="G45" s="365"/>
      <c r="H45" s="361"/>
      <c r="I45" s="360"/>
    </row>
    <row r="46" spans="1:9" x14ac:dyDescent="0.25">
      <c r="A46" s="328">
        <v>39</v>
      </c>
      <c r="B46" s="366" t="s">
        <v>28</v>
      </c>
      <c r="C46" s="363" t="s">
        <v>29</v>
      </c>
      <c r="D46" s="364">
        <v>8497</v>
      </c>
      <c r="E46" s="365">
        <v>81</v>
      </c>
      <c r="F46" s="359"/>
      <c r="G46" s="365"/>
      <c r="H46" s="361"/>
      <c r="I46" s="360"/>
    </row>
    <row r="47" spans="1:9" x14ac:dyDescent="0.25">
      <c r="A47" s="328">
        <v>40</v>
      </c>
      <c r="B47" s="355" t="s">
        <v>118</v>
      </c>
      <c r="C47" s="363" t="s">
        <v>119</v>
      </c>
      <c r="D47" s="364">
        <v>2701</v>
      </c>
      <c r="E47" s="365"/>
      <c r="F47" s="359"/>
      <c r="G47" s="365"/>
      <c r="H47" s="361"/>
      <c r="I47" s="360"/>
    </row>
    <row r="48" spans="1:9" x14ac:dyDescent="0.25">
      <c r="A48" s="328">
        <v>41</v>
      </c>
      <c r="B48" s="355" t="s">
        <v>120</v>
      </c>
      <c r="C48" s="363" t="s">
        <v>121</v>
      </c>
      <c r="D48" s="364">
        <v>7435</v>
      </c>
      <c r="E48" s="365"/>
      <c r="F48" s="359"/>
      <c r="G48" s="365"/>
      <c r="H48" s="361">
        <v>56</v>
      </c>
      <c r="I48" s="360">
        <v>620</v>
      </c>
    </row>
    <row r="49" spans="1:9" x14ac:dyDescent="0.25">
      <c r="A49" s="328">
        <v>42</v>
      </c>
      <c r="B49" s="366" t="s">
        <v>122</v>
      </c>
      <c r="C49" s="363" t="s">
        <v>123</v>
      </c>
      <c r="D49" s="364">
        <v>2316</v>
      </c>
      <c r="E49" s="365"/>
      <c r="F49" s="359"/>
      <c r="G49" s="365"/>
      <c r="H49" s="361"/>
      <c r="I49" s="360"/>
    </row>
    <row r="50" spans="1:9" x14ac:dyDescent="0.25">
      <c r="A50" s="328">
        <v>43</v>
      </c>
      <c r="B50" s="369" t="s">
        <v>124</v>
      </c>
      <c r="C50" s="271" t="s">
        <v>125</v>
      </c>
      <c r="D50" s="364">
        <v>2440</v>
      </c>
      <c r="E50" s="365"/>
      <c r="F50" s="359"/>
      <c r="G50" s="365"/>
      <c r="H50" s="361"/>
      <c r="I50" s="360"/>
    </row>
    <row r="51" spans="1:9" x14ac:dyDescent="0.25">
      <c r="A51" s="328">
        <v>87</v>
      </c>
      <c r="B51" s="366" t="s">
        <v>126</v>
      </c>
      <c r="C51" s="363" t="s">
        <v>127</v>
      </c>
      <c r="D51" s="364">
        <v>2536</v>
      </c>
      <c r="E51" s="365"/>
      <c r="F51" s="359"/>
      <c r="G51" s="365"/>
      <c r="H51" s="361"/>
      <c r="I51" s="360"/>
    </row>
    <row r="52" spans="1:9" x14ac:dyDescent="0.25">
      <c r="A52" s="328">
        <v>44</v>
      </c>
      <c r="B52" s="362" t="s">
        <v>128</v>
      </c>
      <c r="C52" s="363" t="s">
        <v>129</v>
      </c>
      <c r="D52" s="364">
        <v>2282</v>
      </c>
      <c r="E52" s="365"/>
      <c r="F52" s="359"/>
      <c r="G52" s="365"/>
      <c r="H52" s="361"/>
      <c r="I52" s="360"/>
    </row>
    <row r="53" spans="1:9" x14ac:dyDescent="0.25">
      <c r="A53" s="328">
        <v>45</v>
      </c>
      <c r="B53" s="366" t="s">
        <v>130</v>
      </c>
      <c r="C53" s="363" t="s">
        <v>131</v>
      </c>
      <c r="D53" s="364">
        <v>1260</v>
      </c>
      <c r="E53" s="365"/>
      <c r="F53" s="359"/>
      <c r="G53" s="365"/>
      <c r="H53" s="361"/>
      <c r="I53" s="360"/>
    </row>
    <row r="54" spans="1:9" x14ac:dyDescent="0.25">
      <c r="A54" s="328">
        <v>46</v>
      </c>
      <c r="B54" s="362" t="s">
        <v>132</v>
      </c>
      <c r="C54" s="363" t="s">
        <v>133</v>
      </c>
      <c r="D54" s="364">
        <v>2544</v>
      </c>
      <c r="E54" s="365"/>
      <c r="F54" s="359"/>
      <c r="G54" s="365"/>
      <c r="H54" s="361"/>
      <c r="I54" s="360"/>
    </row>
    <row r="55" spans="1:9" x14ac:dyDescent="0.25">
      <c r="A55" s="328">
        <v>47</v>
      </c>
      <c r="B55" s="366" t="s">
        <v>134</v>
      </c>
      <c r="C55" s="363" t="s">
        <v>135</v>
      </c>
      <c r="D55" s="364">
        <v>2799</v>
      </c>
      <c r="E55" s="365"/>
      <c r="F55" s="359"/>
      <c r="G55" s="365"/>
      <c r="H55" s="361"/>
      <c r="I55" s="360"/>
    </row>
    <row r="56" spans="1:9" x14ac:dyDescent="0.25">
      <c r="A56" s="328">
        <v>48</v>
      </c>
      <c r="B56" s="366" t="s">
        <v>136</v>
      </c>
      <c r="C56" s="363" t="s">
        <v>137</v>
      </c>
      <c r="D56" s="364">
        <v>10783</v>
      </c>
      <c r="E56" s="365"/>
      <c r="F56" s="359"/>
      <c r="G56" s="365"/>
      <c r="H56" s="361"/>
      <c r="I56" s="360"/>
    </row>
    <row r="57" spans="1:9" x14ac:dyDescent="0.25">
      <c r="A57" s="328">
        <v>49</v>
      </c>
      <c r="B57" s="270" t="s">
        <v>138</v>
      </c>
      <c r="C57" s="271" t="s">
        <v>139</v>
      </c>
      <c r="D57" s="364">
        <v>2076</v>
      </c>
      <c r="E57" s="365"/>
      <c r="F57" s="359"/>
      <c r="G57" s="365"/>
      <c r="H57" s="361"/>
      <c r="I57" s="360"/>
    </row>
    <row r="58" spans="1:9" x14ac:dyDescent="0.25">
      <c r="A58" s="328">
        <v>95</v>
      </c>
      <c r="B58" s="366" t="s">
        <v>140</v>
      </c>
      <c r="C58" s="363" t="s">
        <v>141</v>
      </c>
      <c r="D58" s="364">
        <v>2097</v>
      </c>
      <c r="E58" s="365"/>
      <c r="F58" s="359"/>
      <c r="G58" s="365"/>
      <c r="H58" s="361"/>
      <c r="I58" s="360"/>
    </row>
    <row r="59" spans="1:9" x14ac:dyDescent="0.25">
      <c r="A59" s="328">
        <v>50</v>
      </c>
      <c r="B59" s="369" t="s">
        <v>142</v>
      </c>
      <c r="C59" s="271" t="s">
        <v>143</v>
      </c>
      <c r="D59" s="364">
        <v>1853</v>
      </c>
      <c r="E59" s="365"/>
      <c r="F59" s="359"/>
      <c r="G59" s="365"/>
      <c r="H59" s="361"/>
      <c r="I59" s="360"/>
    </row>
    <row r="60" spans="1:9" x14ac:dyDescent="0.25">
      <c r="A60" s="328">
        <v>97</v>
      </c>
      <c r="B60" s="366" t="s">
        <v>144</v>
      </c>
      <c r="C60" s="363" t="s">
        <v>145</v>
      </c>
      <c r="D60" s="364"/>
      <c r="E60" s="365"/>
      <c r="F60" s="359"/>
      <c r="G60" s="365"/>
      <c r="H60" s="361"/>
      <c r="I60" s="360"/>
    </row>
    <row r="61" spans="1:9" ht="14.25" customHeight="1" x14ac:dyDescent="0.25">
      <c r="A61" s="328">
        <v>51</v>
      </c>
      <c r="B61" s="366" t="s">
        <v>146</v>
      </c>
      <c r="C61" s="363" t="s">
        <v>147</v>
      </c>
      <c r="D61" s="364"/>
      <c r="E61" s="365"/>
      <c r="F61" s="359"/>
      <c r="G61" s="365"/>
      <c r="H61" s="361"/>
      <c r="I61" s="360"/>
    </row>
    <row r="62" spans="1:9" ht="14.25" customHeight="1" x14ac:dyDescent="0.25">
      <c r="A62" s="328">
        <v>52</v>
      </c>
      <c r="B62" s="366" t="s">
        <v>148</v>
      </c>
      <c r="C62" s="363" t="s">
        <v>149</v>
      </c>
      <c r="D62" s="364"/>
      <c r="E62" s="365"/>
      <c r="F62" s="359"/>
      <c r="G62" s="365"/>
      <c r="H62" s="361"/>
      <c r="I62" s="360"/>
    </row>
    <row r="63" spans="1:9" ht="14.25" customHeight="1" x14ac:dyDescent="0.25">
      <c r="A63" s="328">
        <v>53</v>
      </c>
      <c r="B63" s="362" t="s">
        <v>150</v>
      </c>
      <c r="C63" s="363" t="s">
        <v>151</v>
      </c>
      <c r="D63" s="364"/>
      <c r="E63" s="365"/>
      <c r="F63" s="359"/>
      <c r="G63" s="365"/>
      <c r="H63" s="361"/>
      <c r="I63" s="360"/>
    </row>
    <row r="64" spans="1:9" ht="14.25" customHeight="1" x14ac:dyDescent="0.25">
      <c r="A64" s="328">
        <v>54</v>
      </c>
      <c r="B64" s="355" t="s">
        <v>152</v>
      </c>
      <c r="C64" s="363" t="s">
        <v>153</v>
      </c>
      <c r="D64" s="364"/>
      <c r="E64" s="365"/>
      <c r="F64" s="359"/>
      <c r="G64" s="365"/>
      <c r="H64" s="361"/>
      <c r="I64" s="360"/>
    </row>
    <row r="65" spans="1:9" ht="14.25" customHeight="1" x14ac:dyDescent="0.25">
      <c r="A65" s="328">
        <v>55</v>
      </c>
      <c r="B65" s="362" t="s">
        <v>154</v>
      </c>
      <c r="C65" s="363" t="s">
        <v>155</v>
      </c>
      <c r="D65" s="364"/>
      <c r="E65" s="365"/>
      <c r="F65" s="359"/>
      <c r="G65" s="365"/>
      <c r="H65" s="361"/>
      <c r="I65" s="360"/>
    </row>
    <row r="66" spans="1:9" ht="14.25" customHeight="1" x14ac:dyDescent="0.25">
      <c r="A66" s="328">
        <v>56</v>
      </c>
      <c r="B66" s="366" t="s">
        <v>156</v>
      </c>
      <c r="C66" s="363" t="s">
        <v>157</v>
      </c>
      <c r="D66" s="364"/>
      <c r="E66" s="365"/>
      <c r="F66" s="359"/>
      <c r="G66" s="365"/>
      <c r="H66" s="361"/>
      <c r="I66" s="360"/>
    </row>
    <row r="67" spans="1:9" ht="27.75" customHeight="1" x14ac:dyDescent="0.25">
      <c r="A67" s="328">
        <v>57</v>
      </c>
      <c r="B67" s="355" t="s">
        <v>158</v>
      </c>
      <c r="C67" s="363" t="s">
        <v>159</v>
      </c>
      <c r="D67" s="364"/>
      <c r="E67" s="365"/>
      <c r="F67" s="359"/>
      <c r="G67" s="365"/>
      <c r="H67" s="361"/>
      <c r="I67" s="360"/>
    </row>
    <row r="68" spans="1:9" ht="27.75" customHeight="1" x14ac:dyDescent="0.25">
      <c r="A68" s="328">
        <v>58</v>
      </c>
      <c r="B68" s="355" t="s">
        <v>160</v>
      </c>
      <c r="C68" s="363" t="s">
        <v>161</v>
      </c>
      <c r="D68" s="364"/>
      <c r="E68" s="365"/>
      <c r="F68" s="359"/>
      <c r="G68" s="365"/>
      <c r="H68" s="361"/>
      <c r="I68" s="360"/>
    </row>
    <row r="69" spans="1:9" ht="15.75" customHeight="1" x14ac:dyDescent="0.25">
      <c r="A69" s="328">
        <v>59</v>
      </c>
      <c r="B69" s="362" t="s">
        <v>162</v>
      </c>
      <c r="C69" s="363" t="s">
        <v>163</v>
      </c>
      <c r="D69" s="364"/>
      <c r="E69" s="365"/>
      <c r="F69" s="359"/>
      <c r="G69" s="365"/>
      <c r="H69" s="361"/>
      <c r="I69" s="360"/>
    </row>
    <row r="70" spans="1:9" ht="15.75" customHeight="1" x14ac:dyDescent="0.25">
      <c r="A70" s="328">
        <v>60</v>
      </c>
      <c r="B70" s="362" t="s">
        <v>164</v>
      </c>
      <c r="C70" s="363" t="s">
        <v>165</v>
      </c>
      <c r="D70" s="364"/>
      <c r="E70" s="365"/>
      <c r="F70" s="359"/>
      <c r="G70" s="365"/>
      <c r="H70" s="361"/>
      <c r="I70" s="360"/>
    </row>
    <row r="71" spans="1:9" ht="15.75" customHeight="1" x14ac:dyDescent="0.25">
      <c r="A71" s="328">
        <v>61</v>
      </c>
      <c r="B71" s="362" t="s">
        <v>166</v>
      </c>
      <c r="C71" s="363" t="s">
        <v>167</v>
      </c>
      <c r="D71" s="364"/>
      <c r="E71" s="365"/>
      <c r="F71" s="359"/>
      <c r="G71" s="365"/>
      <c r="H71" s="361"/>
      <c r="I71" s="360"/>
    </row>
    <row r="72" spans="1:9" ht="25.5" x14ac:dyDescent="0.25">
      <c r="A72" s="328">
        <v>62</v>
      </c>
      <c r="B72" s="362" t="s">
        <v>168</v>
      </c>
      <c r="C72" s="363" t="s">
        <v>169</v>
      </c>
      <c r="D72" s="364"/>
      <c r="E72" s="365"/>
      <c r="F72" s="359"/>
      <c r="G72" s="365"/>
      <c r="H72" s="361"/>
      <c r="I72" s="360"/>
    </row>
    <row r="73" spans="1:9" ht="25.5" x14ac:dyDescent="0.25">
      <c r="A73" s="328">
        <v>63</v>
      </c>
      <c r="B73" s="355" t="s">
        <v>170</v>
      </c>
      <c r="C73" s="363" t="s">
        <v>171</v>
      </c>
      <c r="D73" s="364"/>
      <c r="E73" s="365"/>
      <c r="F73" s="359"/>
      <c r="G73" s="365"/>
      <c r="H73" s="361"/>
      <c r="I73" s="360"/>
    </row>
    <row r="74" spans="1:9" ht="25.5" x14ac:dyDescent="0.25">
      <c r="A74" s="328">
        <v>64</v>
      </c>
      <c r="B74" s="362" t="s">
        <v>172</v>
      </c>
      <c r="C74" s="363" t="s">
        <v>173</v>
      </c>
      <c r="D74" s="364"/>
      <c r="E74" s="365"/>
      <c r="F74" s="359"/>
      <c r="G74" s="365"/>
      <c r="H74" s="361"/>
      <c r="I74" s="360"/>
    </row>
    <row r="75" spans="1:9" ht="25.5" x14ac:dyDescent="0.25">
      <c r="A75" s="328">
        <v>65</v>
      </c>
      <c r="B75" s="362" t="s">
        <v>174</v>
      </c>
      <c r="C75" s="363" t="s">
        <v>175</v>
      </c>
      <c r="D75" s="364"/>
      <c r="E75" s="365"/>
      <c r="F75" s="359"/>
      <c r="G75" s="365"/>
      <c r="H75" s="361"/>
      <c r="I75" s="360"/>
    </row>
    <row r="76" spans="1:9" ht="25.5" x14ac:dyDescent="0.25">
      <c r="A76" s="328">
        <v>66</v>
      </c>
      <c r="B76" s="355" t="s">
        <v>176</v>
      </c>
      <c r="C76" s="363" t="s">
        <v>177</v>
      </c>
      <c r="D76" s="364"/>
      <c r="E76" s="365"/>
      <c r="F76" s="359"/>
      <c r="G76" s="365"/>
      <c r="H76" s="361"/>
      <c r="I76" s="360"/>
    </row>
    <row r="77" spans="1:9" ht="25.5" x14ac:dyDescent="0.25">
      <c r="A77" s="328">
        <v>67</v>
      </c>
      <c r="B77" s="355" t="s">
        <v>178</v>
      </c>
      <c r="C77" s="363" t="s">
        <v>179</v>
      </c>
      <c r="D77" s="364"/>
      <c r="E77" s="365"/>
      <c r="F77" s="359"/>
      <c r="G77" s="365"/>
      <c r="H77" s="361"/>
      <c r="I77" s="360"/>
    </row>
    <row r="78" spans="1:9" ht="25.5" x14ac:dyDescent="0.25">
      <c r="A78" s="328">
        <v>68</v>
      </c>
      <c r="B78" s="355" t="s">
        <v>180</v>
      </c>
      <c r="C78" s="363" t="s">
        <v>181</v>
      </c>
      <c r="D78" s="364"/>
      <c r="E78" s="365"/>
      <c r="F78" s="359"/>
      <c r="G78" s="365"/>
      <c r="H78" s="361"/>
      <c r="I78" s="360"/>
    </row>
    <row r="79" spans="1:9" ht="14.25" customHeight="1" x14ac:dyDescent="0.25">
      <c r="A79" s="328">
        <v>69</v>
      </c>
      <c r="B79" s="366" t="s">
        <v>182</v>
      </c>
      <c r="C79" s="363" t="s">
        <v>183</v>
      </c>
      <c r="D79" s="364"/>
      <c r="E79" s="365"/>
      <c r="F79" s="359"/>
      <c r="G79" s="365"/>
      <c r="H79" s="361"/>
      <c r="I79" s="360"/>
    </row>
    <row r="80" spans="1:9" x14ac:dyDescent="0.25">
      <c r="A80" s="328">
        <v>70</v>
      </c>
      <c r="B80" s="355" t="s">
        <v>184</v>
      </c>
      <c r="C80" s="363" t="s">
        <v>185</v>
      </c>
      <c r="D80" s="364"/>
      <c r="E80" s="365"/>
      <c r="F80" s="359"/>
      <c r="G80" s="365"/>
      <c r="H80" s="361"/>
      <c r="I80" s="360"/>
    </row>
    <row r="81" spans="1:9" x14ac:dyDescent="0.25">
      <c r="A81" s="328">
        <v>71</v>
      </c>
      <c r="B81" s="366" t="s">
        <v>186</v>
      </c>
      <c r="C81" s="363" t="s">
        <v>187</v>
      </c>
      <c r="D81" s="364"/>
      <c r="E81" s="365"/>
      <c r="F81" s="359"/>
      <c r="G81" s="365"/>
      <c r="H81" s="361"/>
      <c r="I81" s="360"/>
    </row>
    <row r="82" spans="1:9" x14ac:dyDescent="0.25">
      <c r="A82" s="328">
        <v>72</v>
      </c>
      <c r="B82" s="355" t="s">
        <v>188</v>
      </c>
      <c r="C82" s="363" t="s">
        <v>459</v>
      </c>
      <c r="D82" s="364"/>
      <c r="E82" s="365"/>
      <c r="F82" s="359"/>
      <c r="G82" s="365"/>
      <c r="H82" s="361"/>
      <c r="I82" s="360"/>
    </row>
    <row r="83" spans="1:9" x14ac:dyDescent="0.25">
      <c r="A83" s="328">
        <v>73</v>
      </c>
      <c r="B83" s="355" t="s">
        <v>190</v>
      </c>
      <c r="C83" s="363" t="s">
        <v>191</v>
      </c>
      <c r="D83" s="364"/>
      <c r="E83" s="365"/>
      <c r="F83" s="359"/>
      <c r="G83" s="365"/>
      <c r="H83" s="361"/>
      <c r="I83" s="360"/>
    </row>
    <row r="84" spans="1:9" x14ac:dyDescent="0.25">
      <c r="A84" s="328">
        <v>74</v>
      </c>
      <c r="B84" s="355" t="s">
        <v>192</v>
      </c>
      <c r="C84" s="363" t="s">
        <v>193</v>
      </c>
      <c r="D84" s="364"/>
      <c r="E84" s="365"/>
      <c r="F84" s="359"/>
      <c r="G84" s="365"/>
      <c r="H84" s="361"/>
      <c r="I84" s="360"/>
    </row>
    <row r="85" spans="1:9" x14ac:dyDescent="0.25">
      <c r="A85" s="328">
        <v>75</v>
      </c>
      <c r="B85" s="355" t="s">
        <v>194</v>
      </c>
      <c r="C85" s="363" t="s">
        <v>195</v>
      </c>
      <c r="D85" s="364"/>
      <c r="E85" s="365"/>
      <c r="F85" s="359"/>
      <c r="G85" s="365"/>
      <c r="H85" s="361"/>
      <c r="I85" s="360"/>
    </row>
    <row r="86" spans="1:9" x14ac:dyDescent="0.25">
      <c r="A86" s="328">
        <v>76</v>
      </c>
      <c r="B86" s="355" t="s">
        <v>196</v>
      </c>
      <c r="C86" s="363" t="s">
        <v>197</v>
      </c>
      <c r="D86" s="364"/>
      <c r="E86" s="365"/>
      <c r="F86" s="359"/>
      <c r="G86" s="365"/>
      <c r="H86" s="361"/>
      <c r="I86" s="360"/>
    </row>
    <row r="87" spans="1:9" x14ac:dyDescent="0.25">
      <c r="A87" s="328">
        <v>77</v>
      </c>
      <c r="B87" s="362" t="s">
        <v>30</v>
      </c>
      <c r="C87" s="363" t="s">
        <v>198</v>
      </c>
      <c r="D87" s="364"/>
      <c r="E87" s="365"/>
      <c r="F87" s="359"/>
      <c r="G87" s="365"/>
      <c r="H87" s="361"/>
      <c r="I87" s="360"/>
    </row>
    <row r="88" spans="1:9" ht="25.5" x14ac:dyDescent="0.25">
      <c r="A88" s="1218">
        <v>78</v>
      </c>
      <c r="B88" s="1221" t="s">
        <v>199</v>
      </c>
      <c r="C88" s="370" t="s">
        <v>200</v>
      </c>
      <c r="D88" s="364"/>
      <c r="E88" s="365"/>
      <c r="F88" s="359"/>
      <c r="G88" s="365"/>
      <c r="H88" s="361"/>
      <c r="I88" s="360"/>
    </row>
    <row r="89" spans="1:9" ht="38.25" x14ac:dyDescent="0.25">
      <c r="A89" s="1219"/>
      <c r="B89" s="1222"/>
      <c r="C89" s="363" t="s">
        <v>201</v>
      </c>
      <c r="D89" s="364"/>
      <c r="E89" s="365"/>
      <c r="F89" s="359"/>
      <c r="G89" s="365"/>
      <c r="H89" s="361"/>
      <c r="I89" s="360"/>
    </row>
    <row r="90" spans="1:9" ht="25.5" x14ac:dyDescent="0.25">
      <c r="A90" s="1219"/>
      <c r="B90" s="1222"/>
      <c r="C90" s="363" t="s">
        <v>202</v>
      </c>
      <c r="D90" s="364"/>
      <c r="E90" s="365"/>
      <c r="F90" s="359"/>
      <c r="G90" s="365"/>
      <c r="H90" s="361"/>
      <c r="I90" s="360"/>
    </row>
    <row r="91" spans="1:9" ht="38.25" x14ac:dyDescent="0.25">
      <c r="A91" s="1220"/>
      <c r="B91" s="1223"/>
      <c r="C91" s="371" t="s">
        <v>203</v>
      </c>
      <c r="D91" s="364"/>
      <c r="E91" s="365"/>
      <c r="F91" s="359"/>
      <c r="G91" s="365"/>
      <c r="H91" s="361"/>
      <c r="I91" s="360"/>
    </row>
    <row r="92" spans="1:9" ht="25.5" x14ac:dyDescent="0.25">
      <c r="A92" s="372">
        <v>79</v>
      </c>
      <c r="B92" s="362" t="s">
        <v>204</v>
      </c>
      <c r="C92" s="363" t="s">
        <v>205</v>
      </c>
      <c r="D92" s="364"/>
      <c r="E92" s="365"/>
      <c r="F92" s="359"/>
      <c r="G92" s="365"/>
      <c r="H92" s="361"/>
      <c r="I92" s="360"/>
    </row>
    <row r="93" spans="1:9" x14ac:dyDescent="0.25">
      <c r="A93" s="328">
        <v>80</v>
      </c>
      <c r="B93" s="362" t="s">
        <v>206</v>
      </c>
      <c r="C93" s="363" t="s">
        <v>207</v>
      </c>
      <c r="D93" s="364"/>
      <c r="E93" s="365"/>
      <c r="F93" s="359"/>
      <c r="G93" s="365"/>
      <c r="H93" s="361"/>
      <c r="I93" s="360"/>
    </row>
    <row r="94" spans="1:9" ht="14.25" customHeight="1" x14ac:dyDescent="0.25">
      <c r="A94" s="328">
        <v>81</v>
      </c>
      <c r="B94" s="366" t="s">
        <v>208</v>
      </c>
      <c r="C94" s="363" t="s">
        <v>209</v>
      </c>
      <c r="D94" s="364"/>
      <c r="E94" s="365"/>
      <c r="F94" s="359"/>
      <c r="G94" s="365"/>
      <c r="H94" s="361"/>
      <c r="I94" s="360"/>
    </row>
    <row r="95" spans="1:9" x14ac:dyDescent="0.25">
      <c r="A95" s="328">
        <v>82</v>
      </c>
      <c r="B95" s="362" t="s">
        <v>210</v>
      </c>
      <c r="C95" s="363" t="s">
        <v>211</v>
      </c>
      <c r="D95" s="364">
        <v>1653</v>
      </c>
      <c r="E95" s="365"/>
      <c r="F95" s="359"/>
      <c r="G95" s="365"/>
      <c r="H95" s="361"/>
      <c r="I95" s="360"/>
    </row>
    <row r="96" spans="1:9" x14ac:dyDescent="0.25">
      <c r="A96" s="328">
        <v>83</v>
      </c>
      <c r="B96" s="366" t="s">
        <v>212</v>
      </c>
      <c r="C96" s="363" t="s">
        <v>213</v>
      </c>
      <c r="D96" s="364">
        <v>2130</v>
      </c>
      <c r="E96" s="365"/>
      <c r="F96" s="359"/>
      <c r="G96" s="365"/>
      <c r="H96" s="361"/>
      <c r="I96" s="360"/>
    </row>
    <row r="97" spans="1:9" x14ac:dyDescent="0.25">
      <c r="A97" s="328">
        <v>84</v>
      </c>
      <c r="B97" s="366" t="s">
        <v>214</v>
      </c>
      <c r="C97" s="363" t="s">
        <v>215</v>
      </c>
      <c r="D97" s="364">
        <v>3711</v>
      </c>
      <c r="E97" s="365"/>
      <c r="F97" s="359"/>
      <c r="G97" s="365"/>
      <c r="H97" s="361"/>
      <c r="I97" s="360"/>
    </row>
    <row r="98" spans="1:9" x14ac:dyDescent="0.25">
      <c r="A98" s="328">
        <v>85</v>
      </c>
      <c r="B98" s="362" t="s">
        <v>216</v>
      </c>
      <c r="C98" s="363" t="s">
        <v>217</v>
      </c>
      <c r="D98" s="364">
        <v>1644</v>
      </c>
      <c r="E98" s="365"/>
      <c r="F98" s="359"/>
      <c r="G98" s="365"/>
      <c r="H98" s="361"/>
      <c r="I98" s="360"/>
    </row>
    <row r="99" spans="1:9" x14ac:dyDescent="0.25">
      <c r="A99" s="328">
        <v>86</v>
      </c>
      <c r="B99" s="355" t="s">
        <v>218</v>
      </c>
      <c r="C99" s="363" t="s">
        <v>219</v>
      </c>
      <c r="D99" s="364">
        <v>5035</v>
      </c>
      <c r="E99" s="365"/>
      <c r="F99" s="359"/>
      <c r="G99" s="365"/>
      <c r="H99" s="361"/>
      <c r="I99" s="360"/>
    </row>
    <row r="100" spans="1:9" x14ac:dyDescent="0.25">
      <c r="A100" s="328">
        <v>88</v>
      </c>
      <c r="B100" s="355" t="s">
        <v>220</v>
      </c>
      <c r="C100" s="363" t="s">
        <v>221</v>
      </c>
      <c r="D100" s="364">
        <v>3611</v>
      </c>
      <c r="E100" s="365"/>
      <c r="F100" s="359"/>
      <c r="G100" s="365"/>
      <c r="H100" s="361"/>
      <c r="I100" s="360"/>
    </row>
    <row r="101" spans="1:9" x14ac:dyDescent="0.25">
      <c r="A101" s="328">
        <v>89</v>
      </c>
      <c r="B101" s="366" t="s">
        <v>222</v>
      </c>
      <c r="C101" s="363" t="s">
        <v>223</v>
      </c>
      <c r="D101" s="364">
        <v>1651</v>
      </c>
      <c r="E101" s="365"/>
      <c r="F101" s="359"/>
      <c r="G101" s="365"/>
      <c r="H101" s="361"/>
      <c r="I101" s="360"/>
    </row>
    <row r="102" spans="1:9" x14ac:dyDescent="0.25">
      <c r="A102" s="328">
        <v>90</v>
      </c>
      <c r="B102" s="355" t="s">
        <v>224</v>
      </c>
      <c r="C102" s="363" t="s">
        <v>225</v>
      </c>
      <c r="D102" s="364">
        <v>2232</v>
      </c>
      <c r="E102" s="365"/>
      <c r="F102" s="359"/>
      <c r="G102" s="365"/>
      <c r="H102" s="361"/>
      <c r="I102" s="360"/>
    </row>
    <row r="103" spans="1:9" x14ac:dyDescent="0.25">
      <c r="A103" s="328">
        <v>91</v>
      </c>
      <c r="B103" s="355" t="s">
        <v>226</v>
      </c>
      <c r="C103" s="363" t="s">
        <v>227</v>
      </c>
      <c r="D103" s="364">
        <v>1702</v>
      </c>
      <c r="E103" s="365"/>
      <c r="F103" s="359"/>
      <c r="G103" s="365"/>
      <c r="H103" s="361"/>
      <c r="I103" s="360"/>
    </row>
    <row r="104" spans="1:9" x14ac:dyDescent="0.25">
      <c r="A104" s="328">
        <v>92</v>
      </c>
      <c r="B104" s="362" t="s">
        <v>32</v>
      </c>
      <c r="C104" s="363" t="s">
        <v>33</v>
      </c>
      <c r="D104" s="364">
        <v>2656</v>
      </c>
      <c r="E104" s="365">
        <v>81</v>
      </c>
      <c r="F104" s="359"/>
      <c r="G104" s="365"/>
      <c r="H104" s="361"/>
      <c r="I104" s="360"/>
    </row>
    <row r="105" spans="1:9" x14ac:dyDescent="0.25">
      <c r="A105" s="328">
        <v>93</v>
      </c>
      <c r="B105" s="366" t="s">
        <v>228</v>
      </c>
      <c r="C105" s="363" t="s">
        <v>229</v>
      </c>
      <c r="D105" s="364">
        <v>4619</v>
      </c>
      <c r="E105" s="365"/>
      <c r="F105" s="359"/>
      <c r="G105" s="365"/>
      <c r="H105" s="361"/>
      <c r="I105" s="360"/>
    </row>
    <row r="106" spans="1:9" x14ac:dyDescent="0.25">
      <c r="A106" s="328">
        <v>94</v>
      </c>
      <c r="B106" s="355" t="s">
        <v>230</v>
      </c>
      <c r="C106" s="363" t="s">
        <v>231</v>
      </c>
      <c r="D106" s="364">
        <v>4678</v>
      </c>
      <c r="E106" s="365"/>
      <c r="F106" s="359"/>
      <c r="G106" s="365"/>
      <c r="H106" s="361"/>
      <c r="I106" s="360"/>
    </row>
    <row r="107" spans="1:9" x14ac:dyDescent="0.25">
      <c r="A107" s="328">
        <v>96</v>
      </c>
      <c r="B107" s="355" t="s">
        <v>232</v>
      </c>
      <c r="C107" s="363" t="s">
        <v>233</v>
      </c>
      <c r="D107" s="364"/>
      <c r="E107" s="365"/>
      <c r="F107" s="359"/>
      <c r="G107" s="365"/>
      <c r="H107" s="361"/>
      <c r="I107" s="360"/>
    </row>
    <row r="108" spans="1:9" x14ac:dyDescent="0.25">
      <c r="A108" s="328">
        <v>98</v>
      </c>
      <c r="B108" s="355" t="s">
        <v>234</v>
      </c>
      <c r="C108" s="363" t="s">
        <v>235</v>
      </c>
      <c r="D108" s="364"/>
      <c r="E108" s="365"/>
      <c r="F108" s="359"/>
      <c r="G108" s="365"/>
      <c r="H108" s="361"/>
      <c r="I108" s="360"/>
    </row>
    <row r="109" spans="1:9" x14ac:dyDescent="0.25">
      <c r="A109" s="328">
        <v>99</v>
      </c>
      <c r="B109" s="366" t="s">
        <v>236</v>
      </c>
      <c r="C109" s="363" t="s">
        <v>237</v>
      </c>
      <c r="D109" s="364"/>
      <c r="E109" s="365"/>
      <c r="F109" s="359"/>
      <c r="G109" s="365"/>
      <c r="H109" s="361"/>
      <c r="I109" s="360"/>
    </row>
    <row r="110" spans="1:9" x14ac:dyDescent="0.25">
      <c r="A110" s="328">
        <v>100</v>
      </c>
      <c r="B110" s="366" t="s">
        <v>238</v>
      </c>
      <c r="C110" s="363" t="s">
        <v>239</v>
      </c>
      <c r="D110" s="364"/>
      <c r="E110" s="365"/>
      <c r="F110" s="359"/>
      <c r="G110" s="365"/>
      <c r="H110" s="361"/>
      <c r="I110" s="360"/>
    </row>
    <row r="111" spans="1:9" ht="25.5" x14ac:dyDescent="0.25">
      <c r="A111" s="328">
        <v>101</v>
      </c>
      <c r="B111" s="366" t="s">
        <v>240</v>
      </c>
      <c r="C111" s="363" t="s">
        <v>241</v>
      </c>
      <c r="D111" s="364"/>
      <c r="E111" s="365"/>
      <c r="F111" s="359"/>
      <c r="G111" s="365"/>
      <c r="H111" s="361"/>
      <c r="I111" s="360"/>
    </row>
    <row r="112" spans="1:9" x14ac:dyDescent="0.25">
      <c r="A112" s="328">
        <v>102</v>
      </c>
      <c r="B112" s="366" t="s">
        <v>242</v>
      </c>
      <c r="C112" s="363" t="s">
        <v>243</v>
      </c>
      <c r="D112" s="364"/>
      <c r="E112" s="365"/>
      <c r="F112" s="359"/>
      <c r="G112" s="365"/>
      <c r="H112" s="361"/>
      <c r="I112" s="360"/>
    </row>
    <row r="113" spans="1:9" x14ac:dyDescent="0.25">
      <c r="A113" s="328">
        <v>103</v>
      </c>
      <c r="B113" s="366" t="s">
        <v>244</v>
      </c>
      <c r="C113" s="363" t="s">
        <v>245</v>
      </c>
      <c r="D113" s="364"/>
      <c r="E113" s="365"/>
      <c r="F113" s="359"/>
      <c r="G113" s="365"/>
      <c r="H113" s="361"/>
      <c r="I113" s="360"/>
    </row>
    <row r="114" spans="1:9" x14ac:dyDescent="0.25">
      <c r="A114" s="328">
        <v>104</v>
      </c>
      <c r="B114" s="373" t="s">
        <v>246</v>
      </c>
      <c r="C114" s="327" t="s">
        <v>247</v>
      </c>
      <c r="D114" s="364"/>
      <c r="E114" s="365"/>
      <c r="F114" s="359"/>
      <c r="G114" s="365"/>
      <c r="H114" s="361"/>
      <c r="I114" s="360"/>
    </row>
    <row r="115" spans="1:9" x14ac:dyDescent="0.25">
      <c r="A115" s="328">
        <v>105</v>
      </c>
      <c r="B115" s="362" t="s">
        <v>248</v>
      </c>
      <c r="C115" s="363" t="s">
        <v>249</v>
      </c>
      <c r="D115" s="364"/>
      <c r="E115" s="365"/>
      <c r="F115" s="359"/>
      <c r="G115" s="365"/>
      <c r="H115" s="361"/>
      <c r="I115" s="360"/>
    </row>
    <row r="116" spans="1:9" x14ac:dyDescent="0.25">
      <c r="A116" s="328">
        <v>106</v>
      </c>
      <c r="B116" s="366" t="s">
        <v>250</v>
      </c>
      <c r="C116" s="363" t="s">
        <v>251</v>
      </c>
      <c r="D116" s="364"/>
      <c r="E116" s="365"/>
      <c r="F116" s="359"/>
      <c r="G116" s="365"/>
      <c r="H116" s="361"/>
      <c r="I116" s="360"/>
    </row>
    <row r="117" spans="1:9" x14ac:dyDescent="0.25">
      <c r="A117" s="328">
        <v>107</v>
      </c>
      <c r="B117" s="355" t="s">
        <v>252</v>
      </c>
      <c r="C117" s="374" t="s">
        <v>253</v>
      </c>
      <c r="D117" s="375"/>
      <c r="E117" s="365"/>
      <c r="F117" s="359"/>
      <c r="G117" s="365"/>
      <c r="H117" s="361"/>
      <c r="I117" s="360"/>
    </row>
    <row r="118" spans="1:9" x14ac:dyDescent="0.25">
      <c r="A118" s="328">
        <v>108</v>
      </c>
      <c r="B118" s="366" t="s">
        <v>254</v>
      </c>
      <c r="C118" s="376" t="s">
        <v>255</v>
      </c>
      <c r="D118" s="375"/>
      <c r="E118" s="365"/>
      <c r="F118" s="359"/>
      <c r="G118" s="365"/>
      <c r="H118" s="361"/>
      <c r="I118" s="360"/>
    </row>
    <row r="119" spans="1:9" x14ac:dyDescent="0.25">
      <c r="A119" s="328">
        <v>109</v>
      </c>
      <c r="B119" s="362" t="s">
        <v>256</v>
      </c>
      <c r="C119" s="376" t="s">
        <v>257</v>
      </c>
      <c r="D119" s="375"/>
      <c r="E119" s="365"/>
      <c r="F119" s="359"/>
      <c r="G119" s="365"/>
      <c r="H119" s="361"/>
      <c r="I119" s="360"/>
    </row>
    <row r="120" spans="1:9" x14ac:dyDescent="0.25">
      <c r="A120" s="328">
        <v>110</v>
      </c>
      <c r="B120" s="377" t="s">
        <v>258</v>
      </c>
      <c r="C120" s="376" t="s">
        <v>259</v>
      </c>
      <c r="D120" s="375"/>
      <c r="E120" s="365"/>
      <c r="F120" s="359"/>
      <c r="G120" s="365"/>
      <c r="H120" s="361"/>
      <c r="I120" s="360"/>
    </row>
    <row r="121" spans="1:9" x14ac:dyDescent="0.25">
      <c r="A121" s="328">
        <v>111</v>
      </c>
      <c r="B121" s="366" t="s">
        <v>542</v>
      </c>
      <c r="C121" s="378" t="s">
        <v>543</v>
      </c>
      <c r="D121" s="375"/>
      <c r="E121" s="365"/>
      <c r="F121" s="359"/>
      <c r="G121" s="365"/>
      <c r="H121" s="361"/>
      <c r="I121" s="360"/>
    </row>
    <row r="122" spans="1:9" x14ac:dyDescent="0.25">
      <c r="A122" s="328">
        <v>112</v>
      </c>
      <c r="B122" s="362" t="s">
        <v>260</v>
      </c>
      <c r="C122" s="376" t="s">
        <v>261</v>
      </c>
      <c r="D122" s="375"/>
      <c r="E122" s="365"/>
      <c r="F122" s="359"/>
      <c r="G122" s="365"/>
      <c r="H122" s="361"/>
      <c r="I122" s="360"/>
    </row>
    <row r="123" spans="1:9" x14ac:dyDescent="0.25">
      <c r="A123" s="328">
        <v>113</v>
      </c>
      <c r="B123" s="366" t="s">
        <v>262</v>
      </c>
      <c r="C123" s="376" t="s">
        <v>263</v>
      </c>
      <c r="D123" s="375"/>
      <c r="E123" s="365"/>
      <c r="F123" s="359"/>
      <c r="G123" s="365"/>
      <c r="H123" s="361"/>
      <c r="I123" s="360"/>
    </row>
    <row r="124" spans="1:9" ht="25.5" x14ac:dyDescent="0.25">
      <c r="A124" s="328">
        <v>114</v>
      </c>
      <c r="B124" s="366" t="s">
        <v>264</v>
      </c>
      <c r="C124" s="379" t="s">
        <v>265</v>
      </c>
      <c r="D124" s="375"/>
      <c r="E124" s="365"/>
      <c r="F124" s="359"/>
      <c r="G124" s="365"/>
      <c r="H124" s="361"/>
      <c r="I124" s="360"/>
    </row>
    <row r="125" spans="1:9" x14ac:dyDescent="0.25">
      <c r="A125" s="328">
        <v>115</v>
      </c>
      <c r="B125" s="366" t="s">
        <v>266</v>
      </c>
      <c r="C125" s="363" t="s">
        <v>267</v>
      </c>
      <c r="D125" s="364"/>
      <c r="E125" s="365"/>
      <c r="F125" s="359"/>
      <c r="G125" s="365"/>
      <c r="H125" s="361"/>
      <c r="I125" s="360"/>
    </row>
    <row r="126" spans="1:9" x14ac:dyDescent="0.25">
      <c r="A126" s="328">
        <v>116</v>
      </c>
      <c r="B126" s="366" t="s">
        <v>268</v>
      </c>
      <c r="C126" s="363" t="s">
        <v>269</v>
      </c>
      <c r="D126" s="364"/>
      <c r="E126" s="365"/>
      <c r="F126" s="359"/>
      <c r="G126" s="365"/>
      <c r="H126" s="361"/>
      <c r="I126" s="360"/>
    </row>
    <row r="127" spans="1:9" x14ac:dyDescent="0.25">
      <c r="A127" s="328">
        <v>117</v>
      </c>
      <c r="B127" s="366" t="s">
        <v>270</v>
      </c>
      <c r="C127" s="363" t="s">
        <v>271</v>
      </c>
      <c r="D127" s="364"/>
      <c r="E127" s="365"/>
      <c r="F127" s="359"/>
      <c r="G127" s="365"/>
      <c r="H127" s="361"/>
      <c r="I127" s="360"/>
    </row>
    <row r="128" spans="1:9" x14ac:dyDescent="0.25">
      <c r="A128" s="328">
        <v>118</v>
      </c>
      <c r="B128" s="355" t="s">
        <v>272</v>
      </c>
      <c r="C128" s="363" t="s">
        <v>273</v>
      </c>
      <c r="D128" s="364"/>
      <c r="E128" s="365"/>
      <c r="F128" s="359"/>
      <c r="G128" s="365"/>
      <c r="H128" s="361"/>
      <c r="I128" s="360"/>
    </row>
    <row r="129" spans="1:9" x14ac:dyDescent="0.25">
      <c r="A129" s="328">
        <v>119</v>
      </c>
      <c r="B129" s="355" t="s">
        <v>274</v>
      </c>
      <c r="C129" s="363" t="s">
        <v>275</v>
      </c>
      <c r="D129" s="364">
        <v>93850</v>
      </c>
      <c r="E129" s="365">
        <v>8852</v>
      </c>
      <c r="F129" s="364">
        <v>746</v>
      </c>
      <c r="G129" s="365">
        <v>11187</v>
      </c>
      <c r="H129" s="361">
        <v>197</v>
      </c>
      <c r="I129" s="360">
        <v>2170</v>
      </c>
    </row>
    <row r="130" spans="1:9" x14ac:dyDescent="0.25">
      <c r="A130" s="328">
        <v>120</v>
      </c>
      <c r="B130" s="355" t="s">
        <v>276</v>
      </c>
      <c r="C130" s="363" t="s">
        <v>277</v>
      </c>
      <c r="D130" s="364"/>
      <c r="E130" s="365"/>
      <c r="F130" s="359"/>
      <c r="G130" s="365"/>
      <c r="H130" s="361"/>
      <c r="I130" s="360"/>
    </row>
    <row r="131" spans="1:9" x14ac:dyDescent="0.25">
      <c r="A131" s="328">
        <v>121</v>
      </c>
      <c r="B131" s="366" t="s">
        <v>278</v>
      </c>
      <c r="C131" s="363" t="s">
        <v>279</v>
      </c>
      <c r="D131" s="364"/>
      <c r="E131" s="365"/>
      <c r="F131" s="359"/>
      <c r="G131" s="365"/>
      <c r="H131" s="361"/>
      <c r="I131" s="360"/>
    </row>
    <row r="132" spans="1:9" x14ac:dyDescent="0.25">
      <c r="A132" s="328">
        <v>122</v>
      </c>
      <c r="B132" s="366" t="s">
        <v>280</v>
      </c>
      <c r="C132" s="363" t="s">
        <v>281</v>
      </c>
      <c r="D132" s="364"/>
      <c r="E132" s="365"/>
      <c r="F132" s="359"/>
      <c r="G132" s="365"/>
      <c r="H132" s="361"/>
      <c r="I132" s="360"/>
    </row>
    <row r="133" spans="1:9" x14ac:dyDescent="0.25">
      <c r="A133" s="328">
        <v>123</v>
      </c>
      <c r="B133" s="366" t="s">
        <v>282</v>
      </c>
      <c r="C133" s="363" t="s">
        <v>768</v>
      </c>
      <c r="D133" s="364"/>
      <c r="E133" s="365"/>
      <c r="F133" s="359"/>
      <c r="G133" s="365"/>
      <c r="H133" s="361"/>
      <c r="I133" s="360"/>
    </row>
    <row r="134" spans="1:9" x14ac:dyDescent="0.25">
      <c r="A134" s="328">
        <v>124</v>
      </c>
      <c r="B134" s="355" t="s">
        <v>283</v>
      </c>
      <c r="C134" s="363" t="s">
        <v>284</v>
      </c>
      <c r="D134" s="364"/>
      <c r="E134" s="365"/>
      <c r="F134" s="359"/>
      <c r="G134" s="365"/>
      <c r="H134" s="361"/>
      <c r="I134" s="360"/>
    </row>
    <row r="135" spans="1:9" ht="23.25" customHeight="1" x14ac:dyDescent="0.25">
      <c r="A135" s="328">
        <v>125</v>
      </c>
      <c r="B135" s="362" t="s">
        <v>285</v>
      </c>
      <c r="C135" s="363" t="s">
        <v>726</v>
      </c>
      <c r="D135" s="364">
        <v>5297</v>
      </c>
      <c r="E135" s="365"/>
      <c r="F135" s="359"/>
      <c r="G135" s="365"/>
      <c r="H135" s="361"/>
      <c r="I135" s="360"/>
    </row>
    <row r="136" spans="1:9" x14ac:dyDescent="0.25">
      <c r="A136" s="328">
        <v>126</v>
      </c>
      <c r="B136" s="366" t="s">
        <v>286</v>
      </c>
      <c r="C136" s="363" t="s">
        <v>287</v>
      </c>
      <c r="D136" s="364"/>
      <c r="E136" s="365"/>
      <c r="F136" s="364"/>
      <c r="G136" s="365"/>
      <c r="H136" s="361"/>
      <c r="I136" s="360"/>
    </row>
    <row r="137" spans="1:9" x14ac:dyDescent="0.25">
      <c r="A137" s="328">
        <v>127</v>
      </c>
      <c r="B137" s="355" t="s">
        <v>288</v>
      </c>
      <c r="C137" s="363" t="s">
        <v>289</v>
      </c>
      <c r="D137" s="364"/>
      <c r="E137" s="365"/>
      <c r="F137" s="359"/>
      <c r="G137" s="365"/>
      <c r="H137" s="361"/>
      <c r="I137" s="360"/>
    </row>
    <row r="138" spans="1:9" x14ac:dyDescent="0.25">
      <c r="A138" s="328">
        <v>128</v>
      </c>
      <c r="B138" s="366" t="s">
        <v>290</v>
      </c>
      <c r="C138" s="363" t="s">
        <v>291</v>
      </c>
      <c r="D138" s="364"/>
      <c r="E138" s="365"/>
      <c r="F138" s="359"/>
      <c r="G138" s="365"/>
      <c r="H138" s="361"/>
      <c r="I138" s="360"/>
    </row>
    <row r="139" spans="1:9" x14ac:dyDescent="0.25">
      <c r="A139" s="328">
        <v>129</v>
      </c>
      <c r="B139" s="380" t="s">
        <v>292</v>
      </c>
      <c r="C139" s="381" t="s">
        <v>293</v>
      </c>
      <c r="D139" s="364"/>
      <c r="E139" s="365"/>
      <c r="F139" s="359"/>
      <c r="G139" s="365"/>
      <c r="H139" s="361"/>
      <c r="I139" s="360"/>
    </row>
    <row r="140" spans="1:9" x14ac:dyDescent="0.25">
      <c r="A140" s="328">
        <v>130</v>
      </c>
      <c r="B140" s="382" t="s">
        <v>294</v>
      </c>
      <c r="C140" s="381" t="s">
        <v>295</v>
      </c>
      <c r="D140" s="364"/>
      <c r="E140" s="365"/>
      <c r="F140" s="359"/>
      <c r="G140" s="365"/>
      <c r="H140" s="361"/>
      <c r="I140" s="360"/>
    </row>
    <row r="141" spans="1:9" x14ac:dyDescent="0.25">
      <c r="A141" s="328">
        <v>131</v>
      </c>
      <c r="B141" s="383" t="s">
        <v>296</v>
      </c>
      <c r="C141" s="384" t="s">
        <v>460</v>
      </c>
      <c r="D141" s="364"/>
      <c r="E141" s="365"/>
      <c r="F141" s="359"/>
      <c r="G141" s="365"/>
      <c r="H141" s="361"/>
      <c r="I141" s="360"/>
    </row>
    <row r="142" spans="1:9" x14ac:dyDescent="0.25">
      <c r="A142" s="328">
        <v>132</v>
      </c>
      <c r="B142" s="385" t="s">
        <v>298</v>
      </c>
      <c r="C142" s="386" t="s">
        <v>299</v>
      </c>
      <c r="D142" s="375"/>
      <c r="E142" s="365"/>
      <c r="F142" s="359"/>
      <c r="G142" s="365"/>
      <c r="H142" s="361"/>
      <c r="I142" s="360"/>
    </row>
    <row r="143" spans="1:9" x14ac:dyDescent="0.25">
      <c r="A143" s="328">
        <v>133</v>
      </c>
      <c r="B143" s="326" t="s">
        <v>300</v>
      </c>
      <c r="C143" s="386" t="s">
        <v>301</v>
      </c>
      <c r="D143" s="375"/>
      <c r="E143" s="365"/>
      <c r="F143" s="359"/>
      <c r="G143" s="365"/>
      <c r="H143" s="361"/>
      <c r="I143" s="360"/>
    </row>
    <row r="144" spans="1:9" x14ac:dyDescent="0.25">
      <c r="A144" s="328">
        <v>134</v>
      </c>
      <c r="B144" s="326" t="s">
        <v>302</v>
      </c>
      <c r="C144" s="386" t="s">
        <v>303</v>
      </c>
      <c r="D144" s="375"/>
      <c r="E144" s="360"/>
      <c r="F144" s="387"/>
      <c r="G144" s="365"/>
      <c r="H144" s="361"/>
      <c r="I144" s="360"/>
    </row>
    <row r="145" spans="1:9" ht="15.75" thickBot="1" x14ac:dyDescent="0.3">
      <c r="A145" s="323">
        <v>135</v>
      </c>
      <c r="B145" s="388" t="s">
        <v>304</v>
      </c>
      <c r="C145" s="389" t="s">
        <v>305</v>
      </c>
      <c r="D145" s="390"/>
      <c r="E145" s="391"/>
      <c r="F145" s="392"/>
      <c r="G145" s="391"/>
      <c r="H145" s="393"/>
      <c r="I145" s="391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0" sqref="N20"/>
    </sheetView>
  </sheetViews>
  <sheetFormatPr defaultRowHeight="12.75" x14ac:dyDescent="0.25"/>
  <cols>
    <col min="1" max="1" width="5.85546875" style="755" customWidth="1"/>
    <col min="2" max="2" width="8.7109375" style="755" customWidth="1"/>
    <col min="3" max="3" width="39.28515625" style="756" customWidth="1"/>
    <col min="4" max="4" width="19.5703125" style="757" customWidth="1"/>
    <col min="5" max="5" width="12" style="757" customWidth="1"/>
    <col min="6" max="6" width="11.5703125" style="757" customWidth="1"/>
    <col min="7" max="7" width="12.85546875" style="757" customWidth="1"/>
    <col min="8" max="8" width="14.7109375" style="758" customWidth="1"/>
    <col min="9" max="9" width="16.85546875" style="757" customWidth="1"/>
    <col min="10" max="16384" width="9.140625" style="755"/>
  </cols>
  <sheetData>
    <row r="1" spans="1:9" s="754" customFormat="1" ht="22.5" customHeight="1" x14ac:dyDescent="0.25">
      <c r="A1" s="1267" t="s">
        <v>701</v>
      </c>
      <c r="B1" s="1268"/>
      <c r="C1" s="1268"/>
      <c r="D1" s="1269"/>
      <c r="E1" s="1269"/>
      <c r="F1" s="1269"/>
      <c r="G1" s="1269"/>
      <c r="H1" s="1269"/>
      <c r="I1" s="1269"/>
    </row>
    <row r="2" spans="1:9" ht="13.5" thickBot="1" x14ac:dyDescent="0.3"/>
    <row r="3" spans="1:9" s="760" customFormat="1" ht="36.75" customHeight="1" x14ac:dyDescent="0.25">
      <c r="A3" s="1270" t="s">
        <v>0</v>
      </c>
      <c r="B3" s="1273" t="s">
        <v>692</v>
      </c>
      <c r="C3" s="1276" t="s">
        <v>2</v>
      </c>
      <c r="D3" s="1279" t="s">
        <v>702</v>
      </c>
      <c r="E3" s="1280"/>
      <c r="F3" s="1280"/>
      <c r="G3" s="1281"/>
      <c r="H3" s="1282"/>
      <c r="I3" s="759" t="s">
        <v>703</v>
      </c>
    </row>
    <row r="4" spans="1:9" s="760" customFormat="1" ht="27.75" customHeight="1" x14ac:dyDescent="0.25">
      <c r="A4" s="1271"/>
      <c r="B4" s="1274"/>
      <c r="C4" s="1277"/>
      <c r="D4" s="1283" t="s">
        <v>704</v>
      </c>
      <c r="E4" s="1285" t="s">
        <v>705</v>
      </c>
      <c r="F4" s="1286"/>
      <c r="G4" s="1287"/>
      <c r="H4" s="1288" t="s">
        <v>706</v>
      </c>
      <c r="I4" s="1254" t="s">
        <v>698</v>
      </c>
    </row>
    <row r="5" spans="1:9" s="762" customFormat="1" ht="51" customHeight="1" thickBot="1" x14ac:dyDescent="0.3">
      <c r="A5" s="1272"/>
      <c r="B5" s="1275"/>
      <c r="C5" s="1278"/>
      <c r="D5" s="1284"/>
      <c r="E5" s="761" t="s">
        <v>426</v>
      </c>
      <c r="F5" s="761" t="s">
        <v>427</v>
      </c>
      <c r="G5" s="761" t="s">
        <v>46</v>
      </c>
      <c r="H5" s="1289"/>
      <c r="I5" s="1255"/>
    </row>
    <row r="6" spans="1:9" s="767" customFormat="1" ht="12.75" customHeight="1" x14ac:dyDescent="0.25">
      <c r="A6" s="1256" t="s">
        <v>44</v>
      </c>
      <c r="B6" s="1257"/>
      <c r="C6" s="1258"/>
      <c r="D6" s="763">
        <f>SUM(D7:D144)-D32-D70-D71-D73-D74-D75-D80-D83-D91</f>
        <v>147342</v>
      </c>
      <c r="E6" s="764">
        <f t="shared" ref="E6:I6" si="0">SUM(E7:E144)-E32-E70-E71-E73-E74-E75-E80-E83-E91</f>
        <v>18441</v>
      </c>
      <c r="F6" s="764">
        <f t="shared" si="0"/>
        <v>4282</v>
      </c>
      <c r="G6" s="764">
        <f t="shared" si="0"/>
        <v>22723</v>
      </c>
      <c r="H6" s="765">
        <f t="shared" si="0"/>
        <v>170065</v>
      </c>
      <c r="I6" s="766">
        <f t="shared" si="0"/>
        <v>302940</v>
      </c>
    </row>
    <row r="7" spans="1:9" x14ac:dyDescent="0.25">
      <c r="A7" s="456">
        <v>1</v>
      </c>
      <c r="B7" s="415" t="s">
        <v>54</v>
      </c>
      <c r="C7" s="429" t="s">
        <v>55</v>
      </c>
      <c r="D7" s="768"/>
      <c r="E7" s="769"/>
      <c r="F7" s="769"/>
      <c r="G7" s="770"/>
      <c r="H7" s="771"/>
      <c r="I7" s="772">
        <v>3300</v>
      </c>
    </row>
    <row r="8" spans="1:9" x14ac:dyDescent="0.25">
      <c r="A8" s="456">
        <v>2</v>
      </c>
      <c r="B8" s="418" t="s">
        <v>56</v>
      </c>
      <c r="C8" s="429" t="s">
        <v>57</v>
      </c>
      <c r="D8" s="773">
        <v>1544</v>
      </c>
      <c r="E8" s="420">
        <v>158</v>
      </c>
      <c r="F8" s="420"/>
      <c r="G8" s="770">
        <f>E8+F8</f>
        <v>158</v>
      </c>
      <c r="H8" s="771">
        <f>D8+G8</f>
        <v>1702</v>
      </c>
      <c r="I8" s="772">
        <v>3300</v>
      </c>
    </row>
    <row r="9" spans="1:9" x14ac:dyDescent="0.25">
      <c r="A9" s="456">
        <v>3</v>
      </c>
      <c r="B9" s="683" t="s">
        <v>16</v>
      </c>
      <c r="C9" s="429" t="s">
        <v>17</v>
      </c>
      <c r="D9" s="773">
        <v>3547</v>
      </c>
      <c r="E9" s="420">
        <v>315</v>
      </c>
      <c r="F9" s="420">
        <v>153</v>
      </c>
      <c r="G9" s="770">
        <f t="shared" ref="G9:G67" si="1">E9+F9</f>
        <v>468</v>
      </c>
      <c r="H9" s="771">
        <f>D9+G9</f>
        <v>4015</v>
      </c>
      <c r="I9" s="772">
        <f>5280-1100</f>
        <v>4180</v>
      </c>
    </row>
    <row r="10" spans="1:9" x14ac:dyDescent="0.25">
      <c r="A10" s="456">
        <v>4</v>
      </c>
      <c r="B10" s="415" t="s">
        <v>58</v>
      </c>
      <c r="C10" s="429" t="s">
        <v>59</v>
      </c>
      <c r="D10" s="773">
        <v>806</v>
      </c>
      <c r="E10" s="420"/>
      <c r="F10" s="420"/>
      <c r="G10" s="770"/>
      <c r="H10" s="771">
        <f>D10+G10</f>
        <v>806</v>
      </c>
      <c r="I10" s="772">
        <v>3300</v>
      </c>
    </row>
    <row r="11" spans="1:9" ht="15" customHeight="1" x14ac:dyDescent="0.25">
      <c r="A11" s="456">
        <v>5</v>
      </c>
      <c r="B11" s="415" t="s">
        <v>60</v>
      </c>
      <c r="C11" s="429" t="s">
        <v>61</v>
      </c>
      <c r="D11" s="773"/>
      <c r="E11" s="420"/>
      <c r="F11" s="420"/>
      <c r="G11" s="770"/>
      <c r="H11" s="771"/>
      <c r="I11" s="772">
        <v>3300</v>
      </c>
    </row>
    <row r="12" spans="1:9" x14ac:dyDescent="0.25">
      <c r="A12" s="456">
        <v>6</v>
      </c>
      <c r="B12" s="683" t="s">
        <v>18</v>
      </c>
      <c r="C12" s="429" t="s">
        <v>19</v>
      </c>
      <c r="D12" s="773">
        <v>7529</v>
      </c>
      <c r="E12" s="420">
        <v>275</v>
      </c>
      <c r="F12" s="420">
        <v>311</v>
      </c>
      <c r="G12" s="770">
        <f t="shared" si="1"/>
        <v>586</v>
      </c>
      <c r="H12" s="771">
        <f>D12+G12</f>
        <v>8115</v>
      </c>
      <c r="I12" s="772">
        <v>6930</v>
      </c>
    </row>
    <row r="13" spans="1:9" x14ac:dyDescent="0.25">
      <c r="A13" s="456">
        <v>7</v>
      </c>
      <c r="B13" s="415" t="s">
        <v>62</v>
      </c>
      <c r="C13" s="429" t="s">
        <v>63</v>
      </c>
      <c r="D13" s="773">
        <v>3253</v>
      </c>
      <c r="E13" s="420">
        <v>420</v>
      </c>
      <c r="F13" s="420"/>
      <c r="G13" s="770">
        <f t="shared" si="1"/>
        <v>420</v>
      </c>
      <c r="H13" s="771">
        <f>D13+G13</f>
        <v>3673</v>
      </c>
      <c r="I13" s="772">
        <v>3300</v>
      </c>
    </row>
    <row r="14" spans="1:9" x14ac:dyDescent="0.25">
      <c r="A14" s="456">
        <v>8</v>
      </c>
      <c r="B14" s="683" t="s">
        <v>64</v>
      </c>
      <c r="C14" s="429" t="s">
        <v>65</v>
      </c>
      <c r="D14" s="773"/>
      <c r="E14" s="420"/>
      <c r="F14" s="420"/>
      <c r="G14" s="770"/>
      <c r="H14" s="771"/>
      <c r="I14" s="772">
        <v>3300</v>
      </c>
    </row>
    <row r="15" spans="1:9" x14ac:dyDescent="0.25">
      <c r="A15" s="456">
        <v>9</v>
      </c>
      <c r="B15" s="683" t="s">
        <v>66</v>
      </c>
      <c r="C15" s="429" t="s">
        <v>67</v>
      </c>
      <c r="D15" s="773">
        <v>791</v>
      </c>
      <c r="E15" s="420">
        <v>99</v>
      </c>
      <c r="F15" s="420"/>
      <c r="G15" s="770">
        <f t="shared" si="1"/>
        <v>99</v>
      </c>
      <c r="H15" s="771">
        <f>D15+G15</f>
        <v>890</v>
      </c>
      <c r="I15" s="772">
        <v>1650</v>
      </c>
    </row>
    <row r="16" spans="1:9" x14ac:dyDescent="0.25">
      <c r="A16" s="456">
        <v>10</v>
      </c>
      <c r="B16" s="683" t="s">
        <v>68</v>
      </c>
      <c r="C16" s="429" t="s">
        <v>69</v>
      </c>
      <c r="D16" s="773"/>
      <c r="E16" s="420"/>
      <c r="F16" s="420"/>
      <c r="G16" s="770"/>
      <c r="H16" s="771"/>
      <c r="I16" s="772">
        <v>3300</v>
      </c>
    </row>
    <row r="17" spans="1:9" x14ac:dyDescent="0.25">
      <c r="A17" s="456">
        <v>11</v>
      </c>
      <c r="B17" s="683" t="s">
        <v>70</v>
      </c>
      <c r="C17" s="429" t="s">
        <v>71</v>
      </c>
      <c r="D17" s="773"/>
      <c r="E17" s="420"/>
      <c r="F17" s="420"/>
      <c r="G17" s="770"/>
      <c r="H17" s="771"/>
      <c r="I17" s="772">
        <v>3300</v>
      </c>
    </row>
    <row r="18" spans="1:9" x14ac:dyDescent="0.25">
      <c r="A18" s="456">
        <v>12</v>
      </c>
      <c r="B18" s="683" t="s">
        <v>72</v>
      </c>
      <c r="C18" s="429" t="s">
        <v>73</v>
      </c>
      <c r="D18" s="773">
        <v>1586</v>
      </c>
      <c r="E18" s="420"/>
      <c r="F18" s="420"/>
      <c r="G18" s="770"/>
      <c r="H18" s="771">
        <f>D18+G18</f>
        <v>1586</v>
      </c>
      <c r="I18" s="772">
        <v>3300</v>
      </c>
    </row>
    <row r="19" spans="1:9" x14ac:dyDescent="0.25">
      <c r="A19" s="456">
        <v>13</v>
      </c>
      <c r="B19" s="683" t="s">
        <v>74</v>
      </c>
      <c r="C19" s="429" t="s">
        <v>75</v>
      </c>
      <c r="D19" s="773"/>
      <c r="E19" s="420"/>
      <c r="F19" s="420"/>
      <c r="G19" s="770"/>
      <c r="H19" s="771"/>
      <c r="I19" s="772"/>
    </row>
    <row r="20" spans="1:9" x14ac:dyDescent="0.25">
      <c r="A20" s="456">
        <v>14</v>
      </c>
      <c r="B20" s="683" t="s">
        <v>76</v>
      </c>
      <c r="C20" s="429" t="s">
        <v>77</v>
      </c>
      <c r="D20" s="773"/>
      <c r="E20" s="420"/>
      <c r="F20" s="420"/>
      <c r="G20" s="770"/>
      <c r="H20" s="771"/>
      <c r="I20" s="772">
        <v>3300</v>
      </c>
    </row>
    <row r="21" spans="1:9" x14ac:dyDescent="0.25">
      <c r="A21" s="456">
        <v>15</v>
      </c>
      <c r="B21" s="683" t="s">
        <v>78</v>
      </c>
      <c r="C21" s="429" t="s">
        <v>79</v>
      </c>
      <c r="D21" s="773"/>
      <c r="E21" s="420"/>
      <c r="F21" s="420"/>
      <c r="G21" s="770"/>
      <c r="H21" s="771"/>
      <c r="I21" s="772">
        <v>3300</v>
      </c>
    </row>
    <row r="22" spans="1:9" x14ac:dyDescent="0.25">
      <c r="A22" s="456">
        <v>16</v>
      </c>
      <c r="B22" s="683" t="s">
        <v>80</v>
      </c>
      <c r="C22" s="429" t="s">
        <v>81</v>
      </c>
      <c r="D22" s="773">
        <v>1883</v>
      </c>
      <c r="E22" s="420">
        <v>265</v>
      </c>
      <c r="F22" s="420"/>
      <c r="G22" s="770">
        <f t="shared" si="1"/>
        <v>265</v>
      </c>
      <c r="H22" s="771">
        <f t="shared" ref="H22:H27" si="2">D22+G22</f>
        <v>2148</v>
      </c>
      <c r="I22" s="772">
        <v>3300</v>
      </c>
    </row>
    <row r="23" spans="1:9" x14ac:dyDescent="0.25">
      <c r="A23" s="456">
        <v>17</v>
      </c>
      <c r="B23" s="683" t="s">
        <v>20</v>
      </c>
      <c r="C23" s="429" t="s">
        <v>21</v>
      </c>
      <c r="D23" s="773">
        <v>5517</v>
      </c>
      <c r="E23" s="420">
        <v>505</v>
      </c>
      <c r="F23" s="420">
        <v>293</v>
      </c>
      <c r="G23" s="770">
        <f t="shared" si="1"/>
        <v>798</v>
      </c>
      <c r="H23" s="771">
        <f t="shared" si="2"/>
        <v>6315</v>
      </c>
      <c r="I23" s="772">
        <v>3630</v>
      </c>
    </row>
    <row r="24" spans="1:9" x14ac:dyDescent="0.25">
      <c r="A24" s="456">
        <v>18</v>
      </c>
      <c r="B24" s="415" t="s">
        <v>82</v>
      </c>
      <c r="C24" s="429" t="s">
        <v>83</v>
      </c>
      <c r="D24" s="773">
        <v>589</v>
      </c>
      <c r="E24" s="420">
        <v>95</v>
      </c>
      <c r="F24" s="420"/>
      <c r="G24" s="770">
        <f t="shared" si="1"/>
        <v>95</v>
      </c>
      <c r="H24" s="771">
        <f t="shared" si="2"/>
        <v>684</v>
      </c>
      <c r="I24" s="772">
        <v>1650</v>
      </c>
    </row>
    <row r="25" spans="1:9" x14ac:dyDescent="0.25">
      <c r="A25" s="456">
        <v>19</v>
      </c>
      <c r="B25" s="415" t="s">
        <v>84</v>
      </c>
      <c r="C25" s="429" t="s">
        <v>85</v>
      </c>
      <c r="D25" s="773">
        <v>1498</v>
      </c>
      <c r="E25" s="420">
        <v>192</v>
      </c>
      <c r="F25" s="420"/>
      <c r="G25" s="770">
        <f t="shared" si="1"/>
        <v>192</v>
      </c>
      <c r="H25" s="771">
        <f t="shared" si="2"/>
        <v>1690</v>
      </c>
      <c r="I25" s="772">
        <v>3300</v>
      </c>
    </row>
    <row r="26" spans="1:9" x14ac:dyDescent="0.25">
      <c r="A26" s="456">
        <v>20</v>
      </c>
      <c r="B26" s="415" t="s">
        <v>86</v>
      </c>
      <c r="C26" s="429" t="s">
        <v>87</v>
      </c>
      <c r="D26" s="773">
        <v>2496</v>
      </c>
      <c r="E26" s="420">
        <v>306</v>
      </c>
      <c r="F26" s="420"/>
      <c r="G26" s="770">
        <f t="shared" si="1"/>
        <v>306</v>
      </c>
      <c r="H26" s="771">
        <f t="shared" si="2"/>
        <v>2802</v>
      </c>
      <c r="I26" s="772">
        <v>3300</v>
      </c>
    </row>
    <row r="27" spans="1:9" x14ac:dyDescent="0.25">
      <c r="A27" s="456">
        <v>21</v>
      </c>
      <c r="B27" s="415" t="s">
        <v>22</v>
      </c>
      <c r="C27" s="429" t="s">
        <v>23</v>
      </c>
      <c r="D27" s="773">
        <v>2084</v>
      </c>
      <c r="E27" s="420">
        <v>276</v>
      </c>
      <c r="F27" s="420">
        <v>195</v>
      </c>
      <c r="G27" s="770">
        <f t="shared" si="1"/>
        <v>471</v>
      </c>
      <c r="H27" s="771">
        <f t="shared" si="2"/>
        <v>2555</v>
      </c>
      <c r="I27" s="772">
        <v>3630</v>
      </c>
    </row>
    <row r="28" spans="1:9" x14ac:dyDescent="0.25">
      <c r="A28" s="456">
        <v>22</v>
      </c>
      <c r="B28" s="683" t="s">
        <v>24</v>
      </c>
      <c r="C28" s="429" t="s">
        <v>25</v>
      </c>
      <c r="D28" s="773"/>
      <c r="E28" s="420"/>
      <c r="F28" s="420"/>
      <c r="G28" s="770"/>
      <c r="H28" s="771"/>
      <c r="I28" s="772"/>
    </row>
    <row r="29" spans="1:9" x14ac:dyDescent="0.25">
      <c r="A29" s="456">
        <v>23</v>
      </c>
      <c r="B29" s="683" t="s">
        <v>88</v>
      </c>
      <c r="C29" s="429" t="s">
        <v>89</v>
      </c>
      <c r="D29" s="773"/>
      <c r="E29" s="420"/>
      <c r="F29" s="420"/>
      <c r="G29" s="770"/>
      <c r="H29" s="771"/>
      <c r="I29" s="772"/>
    </row>
    <row r="30" spans="1:9" ht="25.5" x14ac:dyDescent="0.25">
      <c r="A30" s="456">
        <v>24</v>
      </c>
      <c r="B30" s="683" t="s">
        <v>90</v>
      </c>
      <c r="C30" s="429" t="s">
        <v>91</v>
      </c>
      <c r="D30" s="773"/>
      <c r="E30" s="420"/>
      <c r="F30" s="420"/>
      <c r="G30" s="770"/>
      <c r="H30" s="771"/>
      <c r="I30" s="772"/>
    </row>
    <row r="31" spans="1:9" ht="25.5" x14ac:dyDescent="0.25">
      <c r="A31" s="1263">
        <v>25</v>
      </c>
      <c r="B31" s="329" t="s">
        <v>92</v>
      </c>
      <c r="C31" s="699" t="s">
        <v>771</v>
      </c>
      <c r="D31" s="774">
        <v>12043</v>
      </c>
      <c r="E31" s="775">
        <f>804+237</f>
        <v>1041</v>
      </c>
      <c r="F31" s="775">
        <f>0+119</f>
        <v>119</v>
      </c>
      <c r="G31" s="776">
        <f t="shared" si="1"/>
        <v>1160</v>
      </c>
      <c r="H31" s="771">
        <f>D31+G31</f>
        <v>13203</v>
      </c>
      <c r="I31" s="777">
        <f>6600+440+220</f>
        <v>7260</v>
      </c>
    </row>
    <row r="32" spans="1:9" x14ac:dyDescent="0.25">
      <c r="A32" s="1264"/>
      <c r="B32" s="338" t="s">
        <v>94</v>
      </c>
      <c r="C32" s="694" t="s">
        <v>95</v>
      </c>
      <c r="D32" s="773"/>
      <c r="E32" s="420"/>
      <c r="F32" s="420">
        <v>117</v>
      </c>
      <c r="G32" s="770">
        <f t="shared" si="1"/>
        <v>117</v>
      </c>
      <c r="H32" s="771">
        <f>D32+G32</f>
        <v>117</v>
      </c>
      <c r="I32" s="772">
        <v>129</v>
      </c>
    </row>
    <row r="33" spans="1:9" x14ac:dyDescent="0.25">
      <c r="A33" s="456">
        <v>26</v>
      </c>
      <c r="B33" s="418" t="s">
        <v>96</v>
      </c>
      <c r="C33" s="429" t="s">
        <v>97</v>
      </c>
      <c r="D33" s="773"/>
      <c r="E33" s="420"/>
      <c r="F33" s="420"/>
      <c r="G33" s="770"/>
      <c r="H33" s="771"/>
      <c r="I33" s="772"/>
    </row>
    <row r="34" spans="1:9" x14ac:dyDescent="0.25">
      <c r="A34" s="456">
        <v>27</v>
      </c>
      <c r="B34" s="418" t="s">
        <v>26</v>
      </c>
      <c r="C34" s="429" t="s">
        <v>27</v>
      </c>
      <c r="D34" s="773">
        <v>4156</v>
      </c>
      <c r="E34" s="420">
        <v>467</v>
      </c>
      <c r="F34" s="420">
        <v>284</v>
      </c>
      <c r="G34" s="770">
        <f t="shared" si="1"/>
        <v>751</v>
      </c>
      <c r="H34" s="771">
        <f>D34+G34</f>
        <v>4907</v>
      </c>
      <c r="I34" s="772">
        <v>3630</v>
      </c>
    </row>
    <row r="35" spans="1:9" x14ac:dyDescent="0.25">
      <c r="A35" s="456">
        <v>28</v>
      </c>
      <c r="B35" s="415" t="s">
        <v>98</v>
      </c>
      <c r="C35" s="429" t="s">
        <v>99</v>
      </c>
      <c r="D35" s="773">
        <v>5207</v>
      </c>
      <c r="E35" s="420">
        <v>680</v>
      </c>
      <c r="F35" s="420">
        <v>278</v>
      </c>
      <c r="G35" s="770">
        <f t="shared" si="1"/>
        <v>958</v>
      </c>
      <c r="H35" s="771">
        <f>D35+G35</f>
        <v>6165</v>
      </c>
      <c r="I35" s="772">
        <v>3300</v>
      </c>
    </row>
    <row r="36" spans="1:9" x14ac:dyDescent="0.25">
      <c r="A36" s="456">
        <v>29</v>
      </c>
      <c r="B36" s="418" t="s">
        <v>100</v>
      </c>
      <c r="C36" s="429" t="s">
        <v>101</v>
      </c>
      <c r="D36" s="773">
        <v>886</v>
      </c>
      <c r="E36" s="420">
        <v>145</v>
      </c>
      <c r="F36" s="420"/>
      <c r="G36" s="770">
        <f t="shared" si="1"/>
        <v>145</v>
      </c>
      <c r="H36" s="771">
        <f>D36+G36</f>
        <v>1031</v>
      </c>
      <c r="I36" s="772">
        <v>3300</v>
      </c>
    </row>
    <row r="37" spans="1:9" x14ac:dyDescent="0.25">
      <c r="A37" s="456">
        <v>30</v>
      </c>
      <c r="B37" s="683" t="s">
        <v>102</v>
      </c>
      <c r="C37" s="429" t="s">
        <v>103</v>
      </c>
      <c r="D37" s="773">
        <v>2992</v>
      </c>
      <c r="E37" s="420">
        <v>446</v>
      </c>
      <c r="F37" s="420"/>
      <c r="G37" s="770">
        <f t="shared" si="1"/>
        <v>446</v>
      </c>
      <c r="H37" s="771">
        <f>D37+G37</f>
        <v>3438</v>
      </c>
      <c r="I37" s="772">
        <f>4950-1100</f>
        <v>3850</v>
      </c>
    </row>
    <row r="38" spans="1:9" x14ac:dyDescent="0.25">
      <c r="A38" s="456">
        <v>31</v>
      </c>
      <c r="B38" s="418" t="s">
        <v>104</v>
      </c>
      <c r="C38" s="429" t="s">
        <v>105</v>
      </c>
      <c r="D38" s="773"/>
      <c r="E38" s="420"/>
      <c r="F38" s="420"/>
      <c r="G38" s="770"/>
      <c r="H38" s="771"/>
      <c r="I38" s="772">
        <v>3300</v>
      </c>
    </row>
    <row r="39" spans="1:9" x14ac:dyDescent="0.25">
      <c r="A39" s="456">
        <v>32</v>
      </c>
      <c r="B39" s="415" t="s">
        <v>106</v>
      </c>
      <c r="C39" s="429" t="s">
        <v>107</v>
      </c>
      <c r="D39" s="773">
        <v>3554</v>
      </c>
      <c r="E39" s="420">
        <v>529</v>
      </c>
      <c r="F39" s="420"/>
      <c r="G39" s="770">
        <f t="shared" si="1"/>
        <v>529</v>
      </c>
      <c r="H39" s="771">
        <f>D39+G39</f>
        <v>4083</v>
      </c>
      <c r="I39" s="772">
        <v>3300</v>
      </c>
    </row>
    <row r="40" spans="1:9" x14ac:dyDescent="0.25">
      <c r="A40" s="456">
        <v>33</v>
      </c>
      <c r="B40" s="368" t="s">
        <v>108</v>
      </c>
      <c r="C40" s="320" t="s">
        <v>109</v>
      </c>
      <c r="D40" s="773"/>
      <c r="E40" s="420"/>
      <c r="F40" s="420"/>
      <c r="G40" s="770"/>
      <c r="H40" s="771"/>
      <c r="I40" s="772">
        <v>3300</v>
      </c>
    </row>
    <row r="41" spans="1:9" x14ac:dyDescent="0.25">
      <c r="A41" s="456">
        <v>34</v>
      </c>
      <c r="B41" s="415" t="s">
        <v>110</v>
      </c>
      <c r="C41" s="429" t="s">
        <v>111</v>
      </c>
      <c r="D41" s="773">
        <v>690</v>
      </c>
      <c r="E41" s="420">
        <v>84</v>
      </c>
      <c r="F41" s="420"/>
      <c r="G41" s="770">
        <f t="shared" si="1"/>
        <v>84</v>
      </c>
      <c r="H41" s="771">
        <f>D41+G41</f>
        <v>774</v>
      </c>
      <c r="I41" s="772">
        <v>3300</v>
      </c>
    </row>
    <row r="42" spans="1:9" x14ac:dyDescent="0.25">
      <c r="A42" s="456">
        <v>35</v>
      </c>
      <c r="B42" s="415" t="s">
        <v>112</v>
      </c>
      <c r="C42" s="429" t="s">
        <v>113</v>
      </c>
      <c r="D42" s="773"/>
      <c r="E42" s="420"/>
      <c r="F42" s="420"/>
      <c r="G42" s="770"/>
      <c r="H42" s="771"/>
      <c r="I42" s="772">
        <v>3300</v>
      </c>
    </row>
    <row r="43" spans="1:9" x14ac:dyDescent="0.25">
      <c r="A43" s="456">
        <v>36</v>
      </c>
      <c r="B43" s="683" t="s">
        <v>114</v>
      </c>
      <c r="C43" s="429" t="s">
        <v>115</v>
      </c>
      <c r="D43" s="773"/>
      <c r="E43" s="420"/>
      <c r="F43" s="420"/>
      <c r="G43" s="770"/>
      <c r="H43" s="771"/>
      <c r="I43" s="772">
        <v>3300</v>
      </c>
    </row>
    <row r="44" spans="1:9" x14ac:dyDescent="0.25">
      <c r="A44" s="456">
        <v>37</v>
      </c>
      <c r="B44" s="418" t="s">
        <v>116</v>
      </c>
      <c r="C44" s="429" t="s">
        <v>117</v>
      </c>
      <c r="D44" s="773"/>
      <c r="E44" s="420"/>
      <c r="F44" s="420"/>
      <c r="G44" s="770"/>
      <c r="H44" s="771"/>
      <c r="I44" s="772"/>
    </row>
    <row r="45" spans="1:9" x14ac:dyDescent="0.25">
      <c r="A45" s="456">
        <v>38</v>
      </c>
      <c r="B45" s="683" t="s">
        <v>28</v>
      </c>
      <c r="C45" s="429" t="s">
        <v>29</v>
      </c>
      <c r="D45" s="773">
        <v>3773</v>
      </c>
      <c r="E45" s="420">
        <v>619</v>
      </c>
      <c r="F45" s="420"/>
      <c r="G45" s="770">
        <f t="shared" si="1"/>
        <v>619</v>
      </c>
      <c r="H45" s="771">
        <f>D45+G45</f>
        <v>4392</v>
      </c>
      <c r="I45" s="772">
        <v>3630</v>
      </c>
    </row>
    <row r="46" spans="1:9" x14ac:dyDescent="0.25">
      <c r="A46" s="456">
        <v>39</v>
      </c>
      <c r="B46" s="415" t="s">
        <v>118</v>
      </c>
      <c r="C46" s="429" t="s">
        <v>119</v>
      </c>
      <c r="D46" s="773">
        <v>996</v>
      </c>
      <c r="E46" s="420">
        <v>270</v>
      </c>
      <c r="F46" s="420"/>
      <c r="G46" s="770">
        <f t="shared" si="1"/>
        <v>270</v>
      </c>
      <c r="H46" s="771">
        <f>D46+G46</f>
        <v>1266</v>
      </c>
      <c r="I46" s="772">
        <v>3300</v>
      </c>
    </row>
    <row r="47" spans="1:9" x14ac:dyDescent="0.25">
      <c r="A47" s="456">
        <v>40</v>
      </c>
      <c r="B47" s="415" t="s">
        <v>120</v>
      </c>
      <c r="C47" s="429" t="s">
        <v>121</v>
      </c>
      <c r="D47" s="773">
        <v>3948</v>
      </c>
      <c r="E47" s="420">
        <v>559</v>
      </c>
      <c r="F47" s="420">
        <v>274</v>
      </c>
      <c r="G47" s="770">
        <f t="shared" si="1"/>
        <v>833</v>
      </c>
      <c r="H47" s="771">
        <f>D47+G47</f>
        <v>4781</v>
      </c>
      <c r="I47" s="772">
        <v>6600</v>
      </c>
    </row>
    <row r="48" spans="1:9" x14ac:dyDescent="0.25">
      <c r="A48" s="456">
        <v>41</v>
      </c>
      <c r="B48" s="683" t="s">
        <v>122</v>
      </c>
      <c r="C48" s="429" t="s">
        <v>123</v>
      </c>
      <c r="D48" s="773"/>
      <c r="E48" s="420"/>
      <c r="F48" s="420"/>
      <c r="G48" s="770"/>
      <c r="H48" s="771"/>
      <c r="I48" s="772">
        <v>3300</v>
      </c>
    </row>
    <row r="49" spans="1:9" x14ac:dyDescent="0.25">
      <c r="A49" s="456">
        <v>42</v>
      </c>
      <c r="B49" s="418" t="s">
        <v>124</v>
      </c>
      <c r="C49" s="429" t="s">
        <v>125</v>
      </c>
      <c r="D49" s="773">
        <v>1000</v>
      </c>
      <c r="E49" s="420"/>
      <c r="F49" s="420"/>
      <c r="G49" s="770"/>
      <c r="H49" s="771">
        <f>D49+G49</f>
        <v>1000</v>
      </c>
      <c r="I49" s="772">
        <v>3300</v>
      </c>
    </row>
    <row r="50" spans="1:9" x14ac:dyDescent="0.25">
      <c r="A50" s="456">
        <v>43</v>
      </c>
      <c r="B50" s="683" t="s">
        <v>126</v>
      </c>
      <c r="C50" s="429" t="s">
        <v>127</v>
      </c>
      <c r="D50" s="773"/>
      <c r="E50" s="420"/>
      <c r="F50" s="420"/>
      <c r="G50" s="770"/>
      <c r="H50" s="771"/>
      <c r="I50" s="772">
        <v>3300</v>
      </c>
    </row>
    <row r="51" spans="1:9" x14ac:dyDescent="0.25">
      <c r="A51" s="456">
        <v>44</v>
      </c>
      <c r="B51" s="418" t="s">
        <v>128</v>
      </c>
      <c r="C51" s="429" t="s">
        <v>129</v>
      </c>
      <c r="D51" s="773">
        <v>1360</v>
      </c>
      <c r="E51" s="420">
        <v>394</v>
      </c>
      <c r="F51" s="420"/>
      <c r="G51" s="770">
        <f t="shared" si="1"/>
        <v>394</v>
      </c>
      <c r="H51" s="771">
        <f t="shared" ref="H51:H57" si="3">D51+G51</f>
        <v>1754</v>
      </c>
      <c r="I51" s="772">
        <v>3300</v>
      </c>
    </row>
    <row r="52" spans="1:9" x14ac:dyDescent="0.25">
      <c r="A52" s="456">
        <v>45</v>
      </c>
      <c r="B52" s="683" t="s">
        <v>130</v>
      </c>
      <c r="C52" s="429" t="s">
        <v>131</v>
      </c>
      <c r="D52" s="773">
        <v>499</v>
      </c>
      <c r="E52" s="420"/>
      <c r="F52" s="420"/>
      <c r="G52" s="770"/>
      <c r="H52" s="771">
        <f t="shared" si="3"/>
        <v>499</v>
      </c>
      <c r="I52" s="772">
        <v>3300</v>
      </c>
    </row>
    <row r="53" spans="1:9" x14ac:dyDescent="0.25">
      <c r="A53" s="456">
        <v>46</v>
      </c>
      <c r="B53" s="418" t="s">
        <v>132</v>
      </c>
      <c r="C53" s="429" t="s">
        <v>133</v>
      </c>
      <c r="D53" s="773">
        <v>929</v>
      </c>
      <c r="E53" s="420">
        <v>113</v>
      </c>
      <c r="F53" s="420"/>
      <c r="G53" s="770">
        <f t="shared" si="1"/>
        <v>113</v>
      </c>
      <c r="H53" s="771">
        <f t="shared" si="3"/>
        <v>1042</v>
      </c>
      <c r="I53" s="772">
        <v>3300</v>
      </c>
    </row>
    <row r="54" spans="1:9" x14ac:dyDescent="0.25">
      <c r="A54" s="456">
        <v>47</v>
      </c>
      <c r="B54" s="683" t="s">
        <v>134</v>
      </c>
      <c r="C54" s="429" t="s">
        <v>135</v>
      </c>
      <c r="D54" s="773">
        <v>1392</v>
      </c>
      <c r="E54" s="420"/>
      <c r="F54" s="420"/>
      <c r="G54" s="770"/>
      <c r="H54" s="771">
        <f t="shared" si="3"/>
        <v>1392</v>
      </c>
      <c r="I54" s="772">
        <v>3300</v>
      </c>
    </row>
    <row r="55" spans="1:9" x14ac:dyDescent="0.25">
      <c r="A55" s="456">
        <v>48</v>
      </c>
      <c r="B55" s="683" t="s">
        <v>136</v>
      </c>
      <c r="C55" s="429" t="s">
        <v>137</v>
      </c>
      <c r="D55" s="773">
        <v>4643</v>
      </c>
      <c r="E55" s="420">
        <v>467</v>
      </c>
      <c r="F55" s="420">
        <v>177</v>
      </c>
      <c r="G55" s="770">
        <f t="shared" si="1"/>
        <v>644</v>
      </c>
      <c r="H55" s="771">
        <f t="shared" si="3"/>
        <v>5287</v>
      </c>
      <c r="I55" s="772">
        <f>4950-1100</f>
        <v>3850</v>
      </c>
    </row>
    <row r="56" spans="1:9" x14ac:dyDescent="0.25">
      <c r="A56" s="456">
        <v>49</v>
      </c>
      <c r="B56" s="683" t="s">
        <v>138</v>
      </c>
      <c r="C56" s="429" t="s">
        <v>139</v>
      </c>
      <c r="D56" s="773">
        <v>1016</v>
      </c>
      <c r="E56" s="420">
        <v>369</v>
      </c>
      <c r="F56" s="420"/>
      <c r="G56" s="770">
        <f t="shared" si="1"/>
        <v>369</v>
      </c>
      <c r="H56" s="771">
        <f t="shared" si="3"/>
        <v>1385</v>
      </c>
      <c r="I56" s="772">
        <v>3300</v>
      </c>
    </row>
    <row r="57" spans="1:9" x14ac:dyDescent="0.25">
      <c r="A57" s="456">
        <v>50</v>
      </c>
      <c r="B57" s="683" t="s">
        <v>140</v>
      </c>
      <c r="C57" s="429" t="s">
        <v>141</v>
      </c>
      <c r="D57" s="773">
        <v>779</v>
      </c>
      <c r="E57" s="420"/>
      <c r="F57" s="420"/>
      <c r="G57" s="770"/>
      <c r="H57" s="771">
        <f t="shared" si="3"/>
        <v>779</v>
      </c>
      <c r="I57" s="772">
        <v>3300</v>
      </c>
    </row>
    <row r="58" spans="1:9" x14ac:dyDescent="0.25">
      <c r="A58" s="456">
        <v>51</v>
      </c>
      <c r="B58" s="418" t="s">
        <v>142</v>
      </c>
      <c r="C58" s="429" t="s">
        <v>143</v>
      </c>
      <c r="D58" s="773"/>
      <c r="E58" s="420"/>
      <c r="F58" s="420"/>
      <c r="G58" s="770"/>
      <c r="H58" s="771"/>
      <c r="I58" s="772">
        <v>3300</v>
      </c>
    </row>
    <row r="59" spans="1:9" x14ac:dyDescent="0.25">
      <c r="A59" s="456">
        <v>52</v>
      </c>
      <c r="B59" s="683" t="s">
        <v>144</v>
      </c>
      <c r="C59" s="429" t="s">
        <v>145</v>
      </c>
      <c r="D59" s="773"/>
      <c r="E59" s="420"/>
      <c r="F59" s="420"/>
      <c r="G59" s="770"/>
      <c r="H59" s="771"/>
      <c r="I59" s="772"/>
    </row>
    <row r="60" spans="1:9" x14ac:dyDescent="0.25">
      <c r="A60" s="456">
        <v>53</v>
      </c>
      <c r="B60" s="683" t="s">
        <v>146</v>
      </c>
      <c r="C60" s="429" t="s">
        <v>147</v>
      </c>
      <c r="D60" s="773"/>
      <c r="E60" s="420"/>
      <c r="F60" s="420"/>
      <c r="G60" s="770"/>
      <c r="H60" s="771"/>
      <c r="I60" s="772"/>
    </row>
    <row r="61" spans="1:9" x14ac:dyDescent="0.25">
      <c r="A61" s="456">
        <v>54</v>
      </c>
      <c r="B61" s="683" t="s">
        <v>148</v>
      </c>
      <c r="C61" s="429" t="s">
        <v>149</v>
      </c>
      <c r="D61" s="773"/>
      <c r="E61" s="420"/>
      <c r="F61" s="420"/>
      <c r="G61" s="770"/>
      <c r="H61" s="771"/>
      <c r="I61" s="772"/>
    </row>
    <row r="62" spans="1:9" x14ac:dyDescent="0.25">
      <c r="A62" s="456">
        <v>55</v>
      </c>
      <c r="B62" s="418" t="s">
        <v>150</v>
      </c>
      <c r="C62" s="429" t="s">
        <v>151</v>
      </c>
      <c r="D62" s="773"/>
      <c r="E62" s="420"/>
      <c r="F62" s="420"/>
      <c r="G62" s="770"/>
      <c r="H62" s="771"/>
      <c r="I62" s="772"/>
    </row>
    <row r="63" spans="1:9" x14ac:dyDescent="0.25">
      <c r="A63" s="456">
        <v>56</v>
      </c>
      <c r="B63" s="418" t="s">
        <v>154</v>
      </c>
      <c r="C63" s="429" t="s">
        <v>155</v>
      </c>
      <c r="D63" s="773"/>
      <c r="E63" s="420"/>
      <c r="F63" s="420">
        <v>571</v>
      </c>
      <c r="G63" s="770">
        <f t="shared" si="1"/>
        <v>571</v>
      </c>
      <c r="H63" s="771">
        <f>D63+G63</f>
        <v>571</v>
      </c>
      <c r="I63" s="772"/>
    </row>
    <row r="64" spans="1:9" ht="25.5" x14ac:dyDescent="0.25">
      <c r="A64" s="456">
        <v>57</v>
      </c>
      <c r="B64" s="415" t="s">
        <v>158</v>
      </c>
      <c r="C64" s="429" t="s">
        <v>159</v>
      </c>
      <c r="D64" s="773"/>
      <c r="E64" s="420"/>
      <c r="F64" s="420"/>
      <c r="G64" s="770"/>
      <c r="H64" s="771"/>
      <c r="I64" s="772"/>
    </row>
    <row r="65" spans="1:9" ht="25.5" x14ac:dyDescent="0.25">
      <c r="A65" s="456">
        <v>58</v>
      </c>
      <c r="B65" s="415" t="s">
        <v>160</v>
      </c>
      <c r="C65" s="429" t="s">
        <v>161</v>
      </c>
      <c r="D65" s="773"/>
      <c r="E65" s="420"/>
      <c r="F65" s="420"/>
      <c r="G65" s="770"/>
      <c r="H65" s="771"/>
      <c r="I65" s="772"/>
    </row>
    <row r="66" spans="1:9" x14ac:dyDescent="0.25">
      <c r="A66" s="456">
        <v>59</v>
      </c>
      <c r="B66" s="418" t="s">
        <v>162</v>
      </c>
      <c r="C66" s="429" t="s">
        <v>163</v>
      </c>
      <c r="D66" s="773">
        <v>3563</v>
      </c>
      <c r="E66" s="420">
        <v>809</v>
      </c>
      <c r="F66" s="420"/>
      <c r="G66" s="770">
        <f t="shared" si="1"/>
        <v>809</v>
      </c>
      <c r="H66" s="771">
        <f>D66+G66</f>
        <v>4372</v>
      </c>
      <c r="I66" s="772"/>
    </row>
    <row r="67" spans="1:9" x14ac:dyDescent="0.25">
      <c r="A67" s="456">
        <v>60</v>
      </c>
      <c r="B67" s="418" t="s">
        <v>164</v>
      </c>
      <c r="C67" s="429" t="s">
        <v>165</v>
      </c>
      <c r="D67" s="773">
        <v>2130</v>
      </c>
      <c r="E67" s="420">
        <v>920</v>
      </c>
      <c r="F67" s="420"/>
      <c r="G67" s="770">
        <f t="shared" si="1"/>
        <v>920</v>
      </c>
      <c r="H67" s="771">
        <f>D67+G67</f>
        <v>3050</v>
      </c>
      <c r="I67" s="772"/>
    </row>
    <row r="68" spans="1:9" x14ac:dyDescent="0.25">
      <c r="A68" s="456">
        <v>61</v>
      </c>
      <c r="B68" s="418" t="s">
        <v>166</v>
      </c>
      <c r="C68" s="429" t="s">
        <v>167</v>
      </c>
      <c r="D68" s="773">
        <v>5016</v>
      </c>
      <c r="E68" s="420"/>
      <c r="F68" s="420"/>
      <c r="G68" s="770"/>
      <c r="H68" s="771">
        <f>D68+G68</f>
        <v>5016</v>
      </c>
      <c r="I68" s="772"/>
    </row>
    <row r="69" spans="1:9" ht="25.5" x14ac:dyDescent="0.25">
      <c r="A69" s="1106">
        <v>62</v>
      </c>
      <c r="B69" s="691" t="s">
        <v>170</v>
      </c>
      <c r="C69" s="699" t="s">
        <v>770</v>
      </c>
      <c r="D69" s="773"/>
      <c r="E69" s="420"/>
      <c r="F69" s="420"/>
      <c r="G69" s="770"/>
      <c r="H69" s="771"/>
      <c r="I69" s="772"/>
    </row>
    <row r="70" spans="1:9" ht="25.5" x14ac:dyDescent="0.25">
      <c r="A70" s="1265"/>
      <c r="B70" s="692" t="s">
        <v>168</v>
      </c>
      <c r="C70" s="693" t="s">
        <v>778</v>
      </c>
      <c r="D70" s="773"/>
      <c r="E70" s="420"/>
      <c r="F70" s="420"/>
      <c r="G70" s="770"/>
      <c r="H70" s="771"/>
      <c r="I70" s="772"/>
    </row>
    <row r="71" spans="1:9" ht="25.5" x14ac:dyDescent="0.25">
      <c r="A71" s="1253"/>
      <c r="B71" s="692" t="s">
        <v>174</v>
      </c>
      <c r="C71" s="693" t="s">
        <v>779</v>
      </c>
      <c r="D71" s="773"/>
      <c r="E71" s="420"/>
      <c r="F71" s="420"/>
      <c r="G71" s="770"/>
      <c r="H71" s="771"/>
      <c r="I71" s="772"/>
    </row>
    <row r="72" spans="1:9" ht="25.5" x14ac:dyDescent="0.25">
      <c r="A72" s="1106">
        <v>63</v>
      </c>
      <c r="B72" s="703" t="s">
        <v>176</v>
      </c>
      <c r="C72" s="699" t="s">
        <v>773</v>
      </c>
      <c r="D72" s="773"/>
      <c r="E72" s="420"/>
      <c r="F72" s="420"/>
      <c r="G72" s="770"/>
      <c r="H72" s="771"/>
      <c r="I72" s="772"/>
    </row>
    <row r="73" spans="1:9" ht="25.5" x14ac:dyDescent="0.25">
      <c r="A73" s="1265"/>
      <c r="B73" s="692" t="s">
        <v>172</v>
      </c>
      <c r="C73" s="693" t="s">
        <v>780</v>
      </c>
      <c r="D73" s="773"/>
      <c r="E73" s="420"/>
      <c r="F73" s="420"/>
      <c r="G73" s="770"/>
      <c r="H73" s="771"/>
      <c r="I73" s="772"/>
    </row>
    <row r="74" spans="1:9" ht="25.5" x14ac:dyDescent="0.25">
      <c r="A74" s="1265"/>
      <c r="B74" s="691" t="s">
        <v>178</v>
      </c>
      <c r="C74" s="693" t="s">
        <v>781</v>
      </c>
      <c r="D74" s="773"/>
      <c r="E74" s="420"/>
      <c r="F74" s="420"/>
      <c r="G74" s="770"/>
      <c r="H74" s="771"/>
      <c r="I74" s="772"/>
    </row>
    <row r="75" spans="1:9" ht="25.5" x14ac:dyDescent="0.25">
      <c r="A75" s="1253"/>
      <c r="B75" s="691" t="s">
        <v>180</v>
      </c>
      <c r="C75" s="693" t="s">
        <v>782</v>
      </c>
      <c r="D75" s="773"/>
      <c r="E75" s="420"/>
      <c r="F75" s="420"/>
      <c r="G75" s="770"/>
      <c r="H75" s="771"/>
      <c r="I75" s="772"/>
    </row>
    <row r="76" spans="1:9" x14ac:dyDescent="0.25">
      <c r="A76" s="456">
        <v>64</v>
      </c>
      <c r="B76" s="683" t="s">
        <v>182</v>
      </c>
      <c r="C76" s="429" t="s">
        <v>183</v>
      </c>
      <c r="D76" s="773">
        <v>2562</v>
      </c>
      <c r="E76" s="420"/>
      <c r="F76" s="420"/>
      <c r="G76" s="770"/>
      <c r="H76" s="771">
        <f t="shared" ref="H76:H84" si="4">D76+G76</f>
        <v>2562</v>
      </c>
      <c r="I76" s="772">
        <v>4950</v>
      </c>
    </row>
    <row r="77" spans="1:9" x14ac:dyDescent="0.25">
      <c r="A77" s="456">
        <v>65</v>
      </c>
      <c r="B77" s="415" t="s">
        <v>184</v>
      </c>
      <c r="C77" s="429" t="s">
        <v>185</v>
      </c>
      <c r="D77" s="773">
        <v>6848</v>
      </c>
      <c r="E77" s="420">
        <v>1021</v>
      </c>
      <c r="F77" s="420"/>
      <c r="G77" s="770">
        <f t="shared" ref="G77:G134" si="5">E77+F77</f>
        <v>1021</v>
      </c>
      <c r="H77" s="771">
        <f t="shared" si="4"/>
        <v>7869</v>
      </c>
      <c r="I77" s="772">
        <f>9900-1100</f>
        <v>8800</v>
      </c>
    </row>
    <row r="78" spans="1:9" x14ac:dyDescent="0.25">
      <c r="A78" s="456">
        <v>66</v>
      </c>
      <c r="B78" s="683" t="s">
        <v>186</v>
      </c>
      <c r="C78" s="429" t="s">
        <v>187</v>
      </c>
      <c r="D78" s="773">
        <v>3888</v>
      </c>
      <c r="E78" s="420">
        <v>481</v>
      </c>
      <c r="F78" s="420"/>
      <c r="G78" s="770">
        <f t="shared" si="5"/>
        <v>481</v>
      </c>
      <c r="H78" s="771">
        <f t="shared" si="4"/>
        <v>4369</v>
      </c>
      <c r="I78" s="772">
        <v>3300</v>
      </c>
    </row>
    <row r="79" spans="1:9" x14ac:dyDescent="0.25">
      <c r="A79" s="1266">
        <v>67</v>
      </c>
      <c r="B79" s="704" t="s">
        <v>188</v>
      </c>
      <c r="C79" s="699" t="s">
        <v>777</v>
      </c>
      <c r="D79" s="774">
        <v>931</v>
      </c>
      <c r="E79" s="775"/>
      <c r="F79" s="775"/>
      <c r="G79" s="776"/>
      <c r="H79" s="771">
        <f t="shared" si="4"/>
        <v>931</v>
      </c>
      <c r="I79" s="777">
        <v>3300</v>
      </c>
    </row>
    <row r="80" spans="1:9" x14ac:dyDescent="0.25">
      <c r="A80" s="1264"/>
      <c r="B80" s="338" t="s">
        <v>156</v>
      </c>
      <c r="C80" s="694" t="s">
        <v>157</v>
      </c>
      <c r="D80" s="773"/>
      <c r="E80" s="420"/>
      <c r="F80" s="420"/>
      <c r="G80" s="770"/>
      <c r="H80" s="771"/>
      <c r="I80" s="772"/>
    </row>
    <row r="81" spans="1:9" x14ac:dyDescent="0.25">
      <c r="A81" s="456">
        <v>68</v>
      </c>
      <c r="B81" s="415" t="s">
        <v>190</v>
      </c>
      <c r="C81" s="429" t="s">
        <v>191</v>
      </c>
      <c r="D81" s="773">
        <v>6458</v>
      </c>
      <c r="E81" s="420">
        <v>676</v>
      </c>
      <c r="F81" s="420"/>
      <c r="G81" s="770">
        <f t="shared" si="5"/>
        <v>676</v>
      </c>
      <c r="H81" s="771">
        <f t="shared" si="4"/>
        <v>7134</v>
      </c>
      <c r="I81" s="772">
        <v>4950</v>
      </c>
    </row>
    <row r="82" spans="1:9" ht="25.5" x14ac:dyDescent="0.25">
      <c r="A82" s="1106">
        <v>69</v>
      </c>
      <c r="B82" s="704" t="s">
        <v>192</v>
      </c>
      <c r="C82" s="699" t="s">
        <v>772</v>
      </c>
      <c r="D82" s="774"/>
      <c r="E82" s="775"/>
      <c r="F82" s="775">
        <v>695</v>
      </c>
      <c r="G82" s="776">
        <f t="shared" si="5"/>
        <v>695</v>
      </c>
      <c r="H82" s="771">
        <f t="shared" si="4"/>
        <v>695</v>
      </c>
      <c r="I82" s="777">
        <v>3960</v>
      </c>
    </row>
    <row r="83" spans="1:9" x14ac:dyDescent="0.25">
      <c r="A83" s="1253"/>
      <c r="B83" s="329" t="s">
        <v>152</v>
      </c>
      <c r="C83" s="694" t="s">
        <v>153</v>
      </c>
      <c r="D83" s="773"/>
      <c r="E83" s="420"/>
      <c r="F83" s="420"/>
      <c r="G83" s="770"/>
      <c r="H83" s="771"/>
      <c r="I83" s="772"/>
    </row>
    <row r="84" spans="1:9" x14ac:dyDescent="0.25">
      <c r="A84" s="456">
        <v>70</v>
      </c>
      <c r="B84" s="415" t="s">
        <v>194</v>
      </c>
      <c r="C84" s="429" t="s">
        <v>195</v>
      </c>
      <c r="D84" s="773">
        <v>5211</v>
      </c>
      <c r="E84" s="420"/>
      <c r="F84" s="420"/>
      <c r="G84" s="770"/>
      <c r="H84" s="771">
        <f t="shared" si="4"/>
        <v>5211</v>
      </c>
      <c r="I84" s="772">
        <f>5280-1100</f>
        <v>4180</v>
      </c>
    </row>
    <row r="85" spans="1:9" x14ac:dyDescent="0.25">
      <c r="A85" s="456">
        <v>71</v>
      </c>
      <c r="B85" s="415" t="s">
        <v>196</v>
      </c>
      <c r="C85" s="429" t="s">
        <v>197</v>
      </c>
      <c r="D85" s="773"/>
      <c r="E85" s="420"/>
      <c r="F85" s="420"/>
      <c r="G85" s="770"/>
      <c r="H85" s="771"/>
      <c r="I85" s="772"/>
    </row>
    <row r="86" spans="1:9" x14ac:dyDescent="0.25">
      <c r="A86" s="456">
        <v>72</v>
      </c>
      <c r="B86" s="418" t="s">
        <v>30</v>
      </c>
      <c r="C86" s="429" t="s">
        <v>198</v>
      </c>
      <c r="D86" s="773"/>
      <c r="E86" s="420"/>
      <c r="F86" s="420"/>
      <c r="G86" s="770"/>
      <c r="H86" s="771"/>
      <c r="I86" s="772"/>
    </row>
    <row r="87" spans="1:9" ht="25.5" x14ac:dyDescent="0.25">
      <c r="A87" s="1259">
        <v>73</v>
      </c>
      <c r="B87" s="1262" t="s">
        <v>199</v>
      </c>
      <c r="C87" s="432" t="s">
        <v>200</v>
      </c>
      <c r="D87" s="773"/>
      <c r="E87" s="420"/>
      <c r="F87" s="420"/>
      <c r="G87" s="770"/>
      <c r="H87" s="771"/>
      <c r="I87" s="772"/>
    </row>
    <row r="88" spans="1:9" ht="44.25" customHeight="1" x14ac:dyDescent="0.25">
      <c r="A88" s="1260"/>
      <c r="B88" s="1262"/>
      <c r="C88" s="429" t="s">
        <v>201</v>
      </c>
      <c r="D88" s="773"/>
      <c r="E88" s="420"/>
      <c r="F88" s="420"/>
      <c r="G88" s="770"/>
      <c r="H88" s="771"/>
      <c r="I88" s="772"/>
    </row>
    <row r="89" spans="1:9" ht="25.5" x14ac:dyDescent="0.25">
      <c r="A89" s="1260"/>
      <c r="B89" s="1262"/>
      <c r="C89" s="429" t="s">
        <v>202</v>
      </c>
      <c r="D89" s="773"/>
      <c r="E89" s="420"/>
      <c r="F89" s="420"/>
      <c r="G89" s="770"/>
      <c r="H89" s="771"/>
      <c r="I89" s="772"/>
    </row>
    <row r="90" spans="1:9" ht="40.5" customHeight="1" x14ac:dyDescent="0.25">
      <c r="A90" s="1261"/>
      <c r="B90" s="1262"/>
      <c r="C90" s="433" t="s">
        <v>203</v>
      </c>
      <c r="D90" s="773"/>
      <c r="E90" s="420"/>
      <c r="F90" s="420"/>
      <c r="G90" s="770"/>
      <c r="H90" s="771"/>
      <c r="I90" s="772"/>
    </row>
    <row r="91" spans="1:9" ht="25.5" x14ac:dyDescent="0.25">
      <c r="A91" s="456">
        <v>74</v>
      </c>
      <c r="B91" s="418" t="s">
        <v>204</v>
      </c>
      <c r="C91" s="429" t="s">
        <v>205</v>
      </c>
      <c r="D91" s="773"/>
      <c r="E91" s="420"/>
      <c r="F91" s="420"/>
      <c r="G91" s="770"/>
      <c r="H91" s="771"/>
      <c r="I91" s="772"/>
    </row>
    <row r="92" spans="1:9" x14ac:dyDescent="0.25">
      <c r="A92" s="456">
        <v>75</v>
      </c>
      <c r="B92" s="418" t="s">
        <v>206</v>
      </c>
      <c r="C92" s="429" t="s">
        <v>207</v>
      </c>
      <c r="D92" s="773"/>
      <c r="E92" s="420"/>
      <c r="F92" s="420"/>
      <c r="G92" s="770"/>
      <c r="H92" s="771"/>
      <c r="I92" s="772"/>
    </row>
    <row r="93" spans="1:9" x14ac:dyDescent="0.25">
      <c r="A93" s="456">
        <v>76</v>
      </c>
      <c r="B93" s="683" t="s">
        <v>208</v>
      </c>
      <c r="C93" s="429" t="s">
        <v>209</v>
      </c>
      <c r="D93" s="773"/>
      <c r="E93" s="420"/>
      <c r="F93" s="420"/>
      <c r="G93" s="770"/>
      <c r="H93" s="771"/>
      <c r="I93" s="772"/>
    </row>
    <row r="94" spans="1:9" x14ac:dyDescent="0.25">
      <c r="A94" s="456">
        <v>77</v>
      </c>
      <c r="B94" s="418" t="s">
        <v>210</v>
      </c>
      <c r="C94" s="429" t="s">
        <v>211</v>
      </c>
      <c r="D94" s="773"/>
      <c r="E94" s="420"/>
      <c r="F94" s="420"/>
      <c r="G94" s="770"/>
      <c r="H94" s="771"/>
      <c r="I94" s="772">
        <v>3300</v>
      </c>
    </row>
    <row r="95" spans="1:9" x14ac:dyDescent="0.25">
      <c r="A95" s="456">
        <v>78</v>
      </c>
      <c r="B95" s="683" t="s">
        <v>212</v>
      </c>
      <c r="C95" s="429" t="s">
        <v>213</v>
      </c>
      <c r="D95" s="773"/>
      <c r="E95" s="420"/>
      <c r="F95" s="420"/>
      <c r="G95" s="770"/>
      <c r="H95" s="771"/>
      <c r="I95" s="772">
        <v>3300</v>
      </c>
    </row>
    <row r="96" spans="1:9" x14ac:dyDescent="0.25">
      <c r="A96" s="456">
        <v>79</v>
      </c>
      <c r="B96" s="683" t="s">
        <v>214</v>
      </c>
      <c r="C96" s="429" t="s">
        <v>215</v>
      </c>
      <c r="D96" s="773">
        <v>1766</v>
      </c>
      <c r="E96" s="420">
        <v>214</v>
      </c>
      <c r="F96" s="420"/>
      <c r="G96" s="770">
        <f t="shared" si="5"/>
        <v>214</v>
      </c>
      <c r="H96" s="771">
        <f>D96+G96</f>
        <v>1980</v>
      </c>
      <c r="I96" s="772">
        <v>3300</v>
      </c>
    </row>
    <row r="97" spans="1:9" x14ac:dyDescent="0.25">
      <c r="A97" s="456">
        <v>80</v>
      </c>
      <c r="B97" s="418" t="s">
        <v>216</v>
      </c>
      <c r="C97" s="429" t="s">
        <v>217</v>
      </c>
      <c r="D97" s="773">
        <v>773</v>
      </c>
      <c r="E97" s="420">
        <v>121</v>
      </c>
      <c r="F97" s="420"/>
      <c r="G97" s="770">
        <f t="shared" si="5"/>
        <v>121</v>
      </c>
      <c r="H97" s="771">
        <f>D97+G97</f>
        <v>894</v>
      </c>
      <c r="I97" s="772">
        <v>1650</v>
      </c>
    </row>
    <row r="98" spans="1:9" x14ac:dyDescent="0.25">
      <c r="A98" s="456">
        <v>81</v>
      </c>
      <c r="B98" s="415" t="s">
        <v>218</v>
      </c>
      <c r="C98" s="429" t="s">
        <v>219</v>
      </c>
      <c r="D98" s="773">
        <v>2003</v>
      </c>
      <c r="E98" s="420">
        <v>286</v>
      </c>
      <c r="F98" s="420"/>
      <c r="G98" s="770">
        <f t="shared" si="5"/>
        <v>286</v>
      </c>
      <c r="H98" s="771">
        <f>D98+G98</f>
        <v>2289</v>
      </c>
      <c r="I98" s="772">
        <v>3300</v>
      </c>
    </row>
    <row r="99" spans="1:9" x14ac:dyDescent="0.25">
      <c r="A99" s="456">
        <v>82</v>
      </c>
      <c r="B99" s="415" t="s">
        <v>220</v>
      </c>
      <c r="C99" s="429" t="s">
        <v>221</v>
      </c>
      <c r="D99" s="773">
        <v>3510</v>
      </c>
      <c r="E99" s="420">
        <v>350</v>
      </c>
      <c r="F99" s="420"/>
      <c r="G99" s="770">
        <f t="shared" si="5"/>
        <v>350</v>
      </c>
      <c r="H99" s="771">
        <f>D99+G99</f>
        <v>3860</v>
      </c>
      <c r="I99" s="772">
        <v>3300</v>
      </c>
    </row>
    <row r="100" spans="1:9" x14ac:dyDescent="0.25">
      <c r="A100" s="456">
        <v>83</v>
      </c>
      <c r="B100" s="683" t="s">
        <v>222</v>
      </c>
      <c r="C100" s="429" t="s">
        <v>223</v>
      </c>
      <c r="D100" s="773"/>
      <c r="E100" s="420"/>
      <c r="F100" s="420"/>
      <c r="G100" s="770"/>
      <c r="H100" s="771"/>
      <c r="I100" s="772">
        <v>1650</v>
      </c>
    </row>
    <row r="101" spans="1:9" x14ac:dyDescent="0.25">
      <c r="A101" s="456">
        <v>84</v>
      </c>
      <c r="B101" s="415" t="s">
        <v>224</v>
      </c>
      <c r="C101" s="429" t="s">
        <v>225</v>
      </c>
      <c r="D101" s="773">
        <v>922</v>
      </c>
      <c r="E101" s="420"/>
      <c r="F101" s="420"/>
      <c r="G101" s="770"/>
      <c r="H101" s="771">
        <f>D101+G101</f>
        <v>922</v>
      </c>
      <c r="I101" s="772">
        <v>3300</v>
      </c>
    </row>
    <row r="102" spans="1:9" x14ac:dyDescent="0.25">
      <c r="A102" s="456">
        <v>85</v>
      </c>
      <c r="B102" s="415" t="s">
        <v>226</v>
      </c>
      <c r="C102" s="429" t="s">
        <v>227</v>
      </c>
      <c r="D102" s="773"/>
      <c r="E102" s="420"/>
      <c r="F102" s="420"/>
      <c r="G102" s="770"/>
      <c r="H102" s="771"/>
      <c r="I102" s="772">
        <v>3300</v>
      </c>
    </row>
    <row r="103" spans="1:9" x14ac:dyDescent="0.25">
      <c r="A103" s="456">
        <v>86</v>
      </c>
      <c r="B103" s="418" t="s">
        <v>32</v>
      </c>
      <c r="C103" s="429" t="s">
        <v>33</v>
      </c>
      <c r="D103" s="773">
        <v>3081</v>
      </c>
      <c r="E103" s="420">
        <v>372</v>
      </c>
      <c r="F103" s="420">
        <v>132</v>
      </c>
      <c r="G103" s="770">
        <f t="shared" si="5"/>
        <v>504</v>
      </c>
      <c r="H103" s="771">
        <f>D103+G103</f>
        <v>3585</v>
      </c>
      <c r="I103" s="772">
        <v>3630</v>
      </c>
    </row>
    <row r="104" spans="1:9" x14ac:dyDescent="0.25">
      <c r="A104" s="456">
        <v>87</v>
      </c>
      <c r="B104" s="683" t="s">
        <v>228</v>
      </c>
      <c r="C104" s="429" t="s">
        <v>229</v>
      </c>
      <c r="D104" s="773">
        <v>687</v>
      </c>
      <c r="E104" s="420"/>
      <c r="F104" s="420"/>
      <c r="G104" s="770"/>
      <c r="H104" s="771">
        <f>D104+G104</f>
        <v>687</v>
      </c>
      <c r="I104" s="772">
        <v>3300</v>
      </c>
    </row>
    <row r="105" spans="1:9" x14ac:dyDescent="0.25">
      <c r="A105" s="456">
        <v>88</v>
      </c>
      <c r="B105" s="415" t="s">
        <v>230</v>
      </c>
      <c r="C105" s="429" t="s">
        <v>231</v>
      </c>
      <c r="D105" s="773">
        <v>2534</v>
      </c>
      <c r="E105" s="420">
        <v>389</v>
      </c>
      <c r="F105" s="420"/>
      <c r="G105" s="770">
        <f t="shared" si="5"/>
        <v>389</v>
      </c>
      <c r="H105" s="771">
        <f>D105+G105</f>
        <v>2923</v>
      </c>
      <c r="I105" s="772">
        <v>3300</v>
      </c>
    </row>
    <row r="106" spans="1:9" x14ac:dyDescent="0.25">
      <c r="A106" s="456">
        <v>89</v>
      </c>
      <c r="B106" s="415" t="s">
        <v>232</v>
      </c>
      <c r="C106" s="429" t="s">
        <v>233</v>
      </c>
      <c r="D106" s="773"/>
      <c r="E106" s="420"/>
      <c r="F106" s="420"/>
      <c r="G106" s="770"/>
      <c r="H106" s="771"/>
      <c r="I106" s="772"/>
    </row>
    <row r="107" spans="1:9" x14ac:dyDescent="0.25">
      <c r="A107" s="456">
        <v>90</v>
      </c>
      <c r="B107" s="415" t="s">
        <v>234</v>
      </c>
      <c r="C107" s="429" t="s">
        <v>235</v>
      </c>
      <c r="D107" s="773"/>
      <c r="E107" s="420"/>
      <c r="F107" s="420"/>
      <c r="G107" s="770"/>
      <c r="H107" s="771"/>
      <c r="I107" s="772"/>
    </row>
    <row r="108" spans="1:9" x14ac:dyDescent="0.25">
      <c r="A108" s="456">
        <v>91</v>
      </c>
      <c r="B108" s="683" t="s">
        <v>236</v>
      </c>
      <c r="C108" s="429" t="s">
        <v>237</v>
      </c>
      <c r="D108" s="773"/>
      <c r="E108" s="420"/>
      <c r="F108" s="420"/>
      <c r="G108" s="770"/>
      <c r="H108" s="771"/>
      <c r="I108" s="772"/>
    </row>
    <row r="109" spans="1:9" x14ac:dyDescent="0.25">
      <c r="A109" s="456">
        <v>92</v>
      </c>
      <c r="B109" s="683" t="s">
        <v>238</v>
      </c>
      <c r="C109" s="429" t="s">
        <v>239</v>
      </c>
      <c r="D109" s="773"/>
      <c r="E109" s="420"/>
      <c r="F109" s="420"/>
      <c r="G109" s="770"/>
      <c r="H109" s="771"/>
      <c r="I109" s="772"/>
    </row>
    <row r="110" spans="1:9" ht="15.75" customHeight="1" x14ac:dyDescent="0.25">
      <c r="A110" s="456">
        <v>93</v>
      </c>
      <c r="B110" s="683" t="s">
        <v>240</v>
      </c>
      <c r="C110" s="429" t="s">
        <v>241</v>
      </c>
      <c r="D110" s="773"/>
      <c r="E110" s="420"/>
      <c r="F110" s="420"/>
      <c r="G110" s="770"/>
      <c r="H110" s="771"/>
      <c r="I110" s="772"/>
    </row>
    <row r="111" spans="1:9" x14ac:dyDescent="0.25">
      <c r="A111" s="456">
        <v>94</v>
      </c>
      <c r="B111" s="683" t="s">
        <v>242</v>
      </c>
      <c r="C111" s="429" t="s">
        <v>243</v>
      </c>
      <c r="D111" s="773"/>
      <c r="E111" s="420"/>
      <c r="F111" s="420"/>
      <c r="G111" s="770"/>
      <c r="H111" s="771"/>
      <c r="I111" s="772"/>
    </row>
    <row r="112" spans="1:9" x14ac:dyDescent="0.25">
      <c r="A112" s="456">
        <v>95</v>
      </c>
      <c r="B112" s="683" t="s">
        <v>244</v>
      </c>
      <c r="C112" s="429" t="s">
        <v>245</v>
      </c>
      <c r="D112" s="773"/>
      <c r="E112" s="420"/>
      <c r="F112" s="420"/>
      <c r="G112" s="770"/>
      <c r="H112" s="771"/>
      <c r="I112" s="772"/>
    </row>
    <row r="113" spans="1:9" x14ac:dyDescent="0.25">
      <c r="A113" s="456">
        <v>96</v>
      </c>
      <c r="B113" s="373" t="s">
        <v>246</v>
      </c>
      <c r="C113" s="320" t="s">
        <v>247</v>
      </c>
      <c r="D113" s="773"/>
      <c r="E113" s="420"/>
      <c r="F113" s="420"/>
      <c r="G113" s="770"/>
      <c r="H113" s="771"/>
      <c r="I113" s="772"/>
    </row>
    <row r="114" spans="1:9" x14ac:dyDescent="0.25">
      <c r="A114" s="456">
        <v>97</v>
      </c>
      <c r="B114" s="418" t="s">
        <v>248</v>
      </c>
      <c r="C114" s="429" t="s">
        <v>249</v>
      </c>
      <c r="D114" s="773"/>
      <c r="E114" s="420"/>
      <c r="F114" s="420"/>
      <c r="G114" s="770"/>
      <c r="H114" s="771"/>
      <c r="I114" s="772"/>
    </row>
    <row r="115" spans="1:9" x14ac:dyDescent="0.25">
      <c r="A115" s="456">
        <v>98</v>
      </c>
      <c r="B115" s="683" t="s">
        <v>250</v>
      </c>
      <c r="C115" s="429" t="s">
        <v>251</v>
      </c>
      <c r="D115" s="773"/>
      <c r="E115" s="420"/>
      <c r="F115" s="420"/>
      <c r="G115" s="770"/>
      <c r="H115" s="771"/>
      <c r="I115" s="772"/>
    </row>
    <row r="116" spans="1:9" ht="15" customHeight="1" x14ac:dyDescent="0.25">
      <c r="A116" s="456">
        <v>99</v>
      </c>
      <c r="B116" s="415" t="s">
        <v>252</v>
      </c>
      <c r="C116" s="434" t="s">
        <v>253</v>
      </c>
      <c r="D116" s="773"/>
      <c r="E116" s="420"/>
      <c r="F116" s="420"/>
      <c r="G116" s="770"/>
      <c r="H116" s="771"/>
      <c r="I116" s="772"/>
    </row>
    <row r="117" spans="1:9" x14ac:dyDescent="0.25">
      <c r="A117" s="456">
        <v>100</v>
      </c>
      <c r="B117" s="683" t="s">
        <v>254</v>
      </c>
      <c r="C117" s="429" t="s">
        <v>255</v>
      </c>
      <c r="D117" s="773"/>
      <c r="E117" s="420"/>
      <c r="F117" s="420"/>
      <c r="G117" s="770"/>
      <c r="H117" s="771"/>
      <c r="I117" s="772"/>
    </row>
    <row r="118" spans="1:9" x14ac:dyDescent="0.25">
      <c r="A118" s="456">
        <v>101</v>
      </c>
      <c r="B118" s="418" t="s">
        <v>256</v>
      </c>
      <c r="C118" s="429" t="s">
        <v>257</v>
      </c>
      <c r="D118" s="773"/>
      <c r="E118" s="420"/>
      <c r="F118" s="420"/>
      <c r="G118" s="770"/>
      <c r="H118" s="771"/>
      <c r="I118" s="772"/>
    </row>
    <row r="119" spans="1:9" x14ac:dyDescent="0.25">
      <c r="A119" s="456">
        <v>102</v>
      </c>
      <c r="B119" s="415" t="s">
        <v>258</v>
      </c>
      <c r="C119" s="429" t="s">
        <v>259</v>
      </c>
      <c r="D119" s="773"/>
      <c r="E119" s="420"/>
      <c r="F119" s="420"/>
      <c r="G119" s="770"/>
      <c r="H119" s="771"/>
      <c r="I119" s="772"/>
    </row>
    <row r="120" spans="1:9" x14ac:dyDescent="0.25">
      <c r="A120" s="456">
        <v>103</v>
      </c>
      <c r="B120" s="683" t="s">
        <v>542</v>
      </c>
      <c r="C120" s="778" t="s">
        <v>543</v>
      </c>
      <c r="D120" s="773"/>
      <c r="E120" s="420"/>
      <c r="F120" s="420"/>
      <c r="G120" s="770"/>
      <c r="H120" s="771"/>
      <c r="I120" s="772"/>
    </row>
    <row r="121" spans="1:9" x14ac:dyDescent="0.25">
      <c r="A121" s="456">
        <v>104</v>
      </c>
      <c r="B121" s="418" t="s">
        <v>260</v>
      </c>
      <c r="C121" s="429" t="s">
        <v>261</v>
      </c>
      <c r="D121" s="773"/>
      <c r="E121" s="420"/>
      <c r="F121" s="420"/>
      <c r="G121" s="770"/>
      <c r="H121" s="771"/>
      <c r="I121" s="772"/>
    </row>
    <row r="122" spans="1:9" x14ac:dyDescent="0.25">
      <c r="A122" s="456">
        <v>105</v>
      </c>
      <c r="B122" s="683" t="s">
        <v>262</v>
      </c>
      <c r="C122" s="429" t="s">
        <v>263</v>
      </c>
      <c r="D122" s="773"/>
      <c r="E122" s="420"/>
      <c r="F122" s="420"/>
      <c r="G122" s="770"/>
      <c r="H122" s="771"/>
      <c r="I122" s="772"/>
    </row>
    <row r="123" spans="1:9" ht="25.5" x14ac:dyDescent="0.25">
      <c r="A123" s="456">
        <v>106</v>
      </c>
      <c r="B123" s="683" t="s">
        <v>264</v>
      </c>
      <c r="C123" s="435" t="s">
        <v>265</v>
      </c>
      <c r="D123" s="773"/>
      <c r="E123" s="420"/>
      <c r="F123" s="420"/>
      <c r="G123" s="770"/>
      <c r="H123" s="771"/>
      <c r="I123" s="772"/>
    </row>
    <row r="124" spans="1:9" x14ac:dyDescent="0.25">
      <c r="A124" s="456">
        <v>107</v>
      </c>
      <c r="B124" s="683" t="s">
        <v>266</v>
      </c>
      <c r="C124" s="429" t="s">
        <v>267</v>
      </c>
      <c r="D124" s="773"/>
      <c r="E124" s="420"/>
      <c r="F124" s="420"/>
      <c r="G124" s="770"/>
      <c r="H124" s="771"/>
      <c r="I124" s="772"/>
    </row>
    <row r="125" spans="1:9" x14ac:dyDescent="0.25">
      <c r="A125" s="456">
        <v>108</v>
      </c>
      <c r="B125" s="683" t="s">
        <v>268</v>
      </c>
      <c r="C125" s="429" t="s">
        <v>269</v>
      </c>
      <c r="D125" s="773">
        <v>2833</v>
      </c>
      <c r="E125" s="420">
        <v>841</v>
      </c>
      <c r="F125" s="420"/>
      <c r="G125" s="770">
        <f t="shared" si="5"/>
        <v>841</v>
      </c>
      <c r="H125" s="771">
        <f>D125+G125</f>
        <v>3674</v>
      </c>
      <c r="I125" s="772">
        <v>13200</v>
      </c>
    </row>
    <row r="126" spans="1:9" x14ac:dyDescent="0.25">
      <c r="A126" s="456">
        <v>109</v>
      </c>
      <c r="B126" s="683" t="s">
        <v>270</v>
      </c>
      <c r="C126" s="429" t="s">
        <v>271</v>
      </c>
      <c r="D126" s="773"/>
      <c r="E126" s="420"/>
      <c r="F126" s="420"/>
      <c r="G126" s="770"/>
      <c r="H126" s="771"/>
      <c r="I126" s="772"/>
    </row>
    <row r="127" spans="1:9" x14ac:dyDescent="0.25">
      <c r="A127" s="456">
        <v>110</v>
      </c>
      <c r="B127" s="415" t="s">
        <v>272</v>
      </c>
      <c r="C127" s="429" t="s">
        <v>273</v>
      </c>
      <c r="D127" s="773"/>
      <c r="E127" s="420"/>
      <c r="F127" s="420"/>
      <c r="G127" s="770"/>
      <c r="H127" s="771"/>
      <c r="I127" s="772"/>
    </row>
    <row r="128" spans="1:9" x14ac:dyDescent="0.25">
      <c r="A128" s="456">
        <v>111</v>
      </c>
      <c r="B128" s="415" t="s">
        <v>274</v>
      </c>
      <c r="C128" s="429" t="s">
        <v>275</v>
      </c>
      <c r="D128" s="773"/>
      <c r="E128" s="420"/>
      <c r="F128" s="420"/>
      <c r="G128" s="770"/>
      <c r="H128" s="771"/>
      <c r="I128" s="772"/>
    </row>
    <row r="129" spans="1:9" x14ac:dyDescent="0.25">
      <c r="A129" s="456">
        <v>112</v>
      </c>
      <c r="B129" s="415" t="s">
        <v>276</v>
      </c>
      <c r="C129" s="429" t="s">
        <v>277</v>
      </c>
      <c r="D129" s="773"/>
      <c r="E129" s="420"/>
      <c r="F129" s="420"/>
      <c r="G129" s="770"/>
      <c r="H129" s="771"/>
      <c r="I129" s="772"/>
    </row>
    <row r="130" spans="1:9" x14ac:dyDescent="0.25">
      <c r="A130" s="456">
        <v>113</v>
      </c>
      <c r="B130" s="683" t="s">
        <v>278</v>
      </c>
      <c r="C130" s="429" t="s">
        <v>279</v>
      </c>
      <c r="D130" s="773"/>
      <c r="E130" s="420"/>
      <c r="F130" s="420"/>
      <c r="G130" s="770"/>
      <c r="H130" s="771"/>
      <c r="I130" s="772"/>
    </row>
    <row r="131" spans="1:9" x14ac:dyDescent="0.25">
      <c r="A131" s="456">
        <v>114</v>
      </c>
      <c r="B131" s="683" t="s">
        <v>280</v>
      </c>
      <c r="C131" s="429" t="s">
        <v>281</v>
      </c>
      <c r="D131" s="773"/>
      <c r="E131" s="420"/>
      <c r="F131" s="420"/>
      <c r="G131" s="770"/>
      <c r="H131" s="771"/>
      <c r="I131" s="772"/>
    </row>
    <row r="132" spans="1:9" x14ac:dyDescent="0.25">
      <c r="A132" s="456">
        <v>115</v>
      </c>
      <c r="B132" s="683" t="s">
        <v>282</v>
      </c>
      <c r="C132" s="429" t="s">
        <v>783</v>
      </c>
      <c r="D132" s="773">
        <v>2671</v>
      </c>
      <c r="E132" s="420"/>
      <c r="F132" s="420"/>
      <c r="G132" s="770"/>
      <c r="H132" s="771">
        <f>D132+G132</f>
        <v>2671</v>
      </c>
      <c r="I132" s="772">
        <v>23100</v>
      </c>
    </row>
    <row r="133" spans="1:9" x14ac:dyDescent="0.25">
      <c r="A133" s="456">
        <v>116</v>
      </c>
      <c r="B133" s="415" t="s">
        <v>283</v>
      </c>
      <c r="C133" s="429" t="s">
        <v>284</v>
      </c>
      <c r="D133" s="773">
        <v>2730</v>
      </c>
      <c r="E133" s="420"/>
      <c r="F133" s="420"/>
      <c r="G133" s="770"/>
      <c r="H133" s="771">
        <f>D133+G133</f>
        <v>2730</v>
      </c>
      <c r="I133" s="772"/>
    </row>
    <row r="134" spans="1:9" x14ac:dyDescent="0.25">
      <c r="A134" s="456">
        <v>117</v>
      </c>
      <c r="B134" s="418" t="s">
        <v>285</v>
      </c>
      <c r="C134" s="429" t="s">
        <v>750</v>
      </c>
      <c r="D134" s="773">
        <v>4239</v>
      </c>
      <c r="E134" s="420">
        <v>472</v>
      </c>
      <c r="F134" s="420"/>
      <c r="G134" s="770">
        <f t="shared" si="5"/>
        <v>472</v>
      </c>
      <c r="H134" s="771">
        <f>D134+G134</f>
        <v>4711</v>
      </c>
      <c r="I134" s="772">
        <f>0+5500</f>
        <v>5500</v>
      </c>
    </row>
    <row r="135" spans="1:9" x14ac:dyDescent="0.25">
      <c r="A135" s="456">
        <v>118</v>
      </c>
      <c r="B135" s="683" t="s">
        <v>286</v>
      </c>
      <c r="C135" s="429" t="s">
        <v>287</v>
      </c>
      <c r="D135" s="773"/>
      <c r="E135" s="769"/>
      <c r="F135" s="769"/>
      <c r="G135" s="770"/>
      <c r="H135" s="771"/>
      <c r="I135" s="772">
        <v>9900</v>
      </c>
    </row>
    <row r="136" spans="1:9" x14ac:dyDescent="0.25">
      <c r="A136" s="456">
        <v>119</v>
      </c>
      <c r="B136" s="415" t="s">
        <v>288</v>
      </c>
      <c r="C136" s="429" t="s">
        <v>289</v>
      </c>
      <c r="D136" s="773"/>
      <c r="E136" s="769"/>
      <c r="F136" s="769"/>
      <c r="G136" s="770"/>
      <c r="H136" s="771"/>
      <c r="I136" s="772"/>
    </row>
    <row r="137" spans="1:9" x14ac:dyDescent="0.25">
      <c r="A137" s="456">
        <v>120</v>
      </c>
      <c r="B137" s="683" t="s">
        <v>290</v>
      </c>
      <c r="C137" s="429" t="s">
        <v>291</v>
      </c>
      <c r="D137" s="773"/>
      <c r="E137" s="769"/>
      <c r="F137" s="769"/>
      <c r="G137" s="770"/>
      <c r="H137" s="771"/>
      <c r="I137" s="772"/>
    </row>
    <row r="138" spans="1:9" x14ac:dyDescent="0.25">
      <c r="A138" s="456">
        <v>121</v>
      </c>
      <c r="B138" s="420" t="s">
        <v>292</v>
      </c>
      <c r="C138" s="436" t="s">
        <v>293</v>
      </c>
      <c r="D138" s="773"/>
      <c r="E138" s="769"/>
      <c r="F138" s="769"/>
      <c r="G138" s="770"/>
      <c r="H138" s="771"/>
      <c r="I138" s="772"/>
    </row>
    <row r="139" spans="1:9" x14ac:dyDescent="0.25">
      <c r="A139" s="456">
        <v>122</v>
      </c>
      <c r="B139" s="421" t="s">
        <v>294</v>
      </c>
      <c r="C139" s="436" t="s">
        <v>295</v>
      </c>
      <c r="D139" s="773"/>
      <c r="E139" s="769"/>
      <c r="F139" s="769"/>
      <c r="G139" s="770"/>
      <c r="H139" s="771"/>
      <c r="I139" s="772"/>
    </row>
    <row r="140" spans="1:9" x14ac:dyDescent="0.2">
      <c r="A140" s="456">
        <v>123</v>
      </c>
      <c r="B140" s="420" t="s">
        <v>296</v>
      </c>
      <c r="C140" s="779" t="s">
        <v>460</v>
      </c>
      <c r="D140" s="773"/>
      <c r="E140" s="769"/>
      <c r="F140" s="769"/>
      <c r="G140" s="770"/>
      <c r="H140" s="771"/>
      <c r="I140" s="772">
        <v>1980</v>
      </c>
    </row>
    <row r="141" spans="1:9" x14ac:dyDescent="0.25">
      <c r="A141" s="456">
        <v>124</v>
      </c>
      <c r="B141" s="385" t="s">
        <v>298</v>
      </c>
      <c r="C141" s="386" t="s">
        <v>299</v>
      </c>
      <c r="D141" s="773"/>
      <c r="E141" s="769"/>
      <c r="F141" s="769"/>
      <c r="G141" s="770"/>
      <c r="H141" s="771"/>
      <c r="I141" s="772"/>
    </row>
    <row r="142" spans="1:9" x14ac:dyDescent="0.25">
      <c r="A142" s="456">
        <v>125</v>
      </c>
      <c r="B142" s="326" t="s">
        <v>300</v>
      </c>
      <c r="C142" s="386" t="s">
        <v>301</v>
      </c>
      <c r="D142" s="773"/>
      <c r="E142" s="769">
        <v>2400</v>
      </c>
      <c r="F142" s="769">
        <v>800</v>
      </c>
      <c r="G142" s="770">
        <f t="shared" ref="G142" si="6">E142+F142</f>
        <v>3200</v>
      </c>
      <c r="H142" s="771">
        <f>D142+G142</f>
        <v>3200</v>
      </c>
      <c r="I142" s="772">
        <v>19800</v>
      </c>
    </row>
    <row r="143" spans="1:9" x14ac:dyDescent="0.25">
      <c r="A143" s="456">
        <v>126</v>
      </c>
      <c r="B143" s="326" t="s">
        <v>302</v>
      </c>
      <c r="C143" s="386" t="s">
        <v>303</v>
      </c>
      <c r="D143" s="780"/>
      <c r="E143" s="780"/>
      <c r="F143" s="780"/>
      <c r="G143" s="770"/>
      <c r="H143" s="771"/>
      <c r="I143" s="772"/>
    </row>
    <row r="144" spans="1:9" ht="13.5" thickBot="1" x14ac:dyDescent="0.3">
      <c r="A144" s="323">
        <v>127</v>
      </c>
      <c r="B144" s="388" t="s">
        <v>304</v>
      </c>
      <c r="C144" s="462" t="s">
        <v>305</v>
      </c>
      <c r="D144" s="781"/>
      <c r="E144" s="781"/>
      <c r="F144" s="781"/>
      <c r="G144" s="782"/>
      <c r="H144" s="783"/>
      <c r="I144" s="784"/>
    </row>
    <row r="145" spans="3:9" s="787" customFormat="1" x14ac:dyDescent="0.25">
      <c r="C145" s="785"/>
      <c r="D145" s="786"/>
      <c r="E145" s="786"/>
      <c r="F145" s="786"/>
      <c r="G145" s="786"/>
      <c r="H145" s="786"/>
      <c r="I145" s="786"/>
    </row>
    <row r="146" spans="3:9" s="786" customFormat="1" x14ac:dyDescent="0.25">
      <c r="C146" s="788"/>
    </row>
    <row r="147" spans="3:9" s="786" customFormat="1" x14ac:dyDescent="0.25">
      <c r="C147" s="788"/>
    </row>
    <row r="148" spans="3:9" s="786" customFormat="1" x14ac:dyDescent="0.25">
      <c r="C148" s="788"/>
      <c r="H148" s="789"/>
    </row>
  </sheetData>
  <mergeCells count="17">
    <mergeCell ref="A1:I1"/>
    <mergeCell ref="A3:A5"/>
    <mergeCell ref="B3:B5"/>
    <mergeCell ref="C3:C5"/>
    <mergeCell ref="D3:H3"/>
    <mergeCell ref="D4:D5"/>
    <mergeCell ref="E4:G4"/>
    <mergeCell ref="H4:H5"/>
    <mergeCell ref="A82:A83"/>
    <mergeCell ref="I4:I5"/>
    <mergeCell ref="A6:C6"/>
    <mergeCell ref="A87:A90"/>
    <mergeCell ref="B87:B90"/>
    <mergeCell ref="A31:A32"/>
    <mergeCell ref="A69:A71"/>
    <mergeCell ref="A72:A75"/>
    <mergeCell ref="A79:A8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zoomScale="90" zoomScaleNormal="90" workbookViewId="0">
      <pane xSplit="3" ySplit="7" topLeftCell="I127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394" customWidth="1"/>
    <col min="2" max="2" width="9.28515625" style="394" bestFit="1" customWidth="1"/>
    <col min="3" max="3" width="35.7109375" style="395" customWidth="1"/>
    <col min="4" max="4" width="17.28515625" style="396" customWidth="1"/>
    <col min="5" max="5" width="14.85546875" style="396" customWidth="1"/>
    <col min="6" max="6" width="12" style="396" customWidth="1"/>
    <col min="7" max="9" width="11.5703125" style="394" customWidth="1"/>
    <col min="10" max="10" width="11.42578125" style="396" customWidth="1"/>
    <col min="11" max="11" width="11.42578125" style="394" customWidth="1"/>
    <col min="12" max="16384" width="9.140625" style="394"/>
  </cols>
  <sheetData>
    <row r="1" spans="1:11" ht="39.75" customHeight="1" x14ac:dyDescent="0.25">
      <c r="A1" s="1224" t="s">
        <v>707</v>
      </c>
      <c r="B1" s="1302"/>
      <c r="C1" s="1302"/>
      <c r="D1" s="1302"/>
      <c r="E1" s="1302"/>
      <c r="F1" s="1302"/>
      <c r="G1" s="1303"/>
      <c r="H1" s="1303"/>
      <c r="I1" s="1303"/>
      <c r="J1" s="1303"/>
      <c r="K1" s="1303"/>
    </row>
    <row r="2" spans="1:11" ht="13.5" thickBot="1" x14ac:dyDescent="0.3"/>
    <row r="3" spans="1:11" s="457" customFormat="1" ht="11.25" customHeight="1" x14ac:dyDescent="0.25">
      <c r="A3" s="1293" t="s">
        <v>0</v>
      </c>
      <c r="B3" s="1296" t="s">
        <v>692</v>
      </c>
      <c r="C3" s="1299" t="s">
        <v>2</v>
      </c>
      <c r="D3" s="1322" t="s">
        <v>693</v>
      </c>
      <c r="E3" s="1323"/>
      <c r="F3" s="1304" t="s">
        <v>694</v>
      </c>
      <c r="G3" s="1305"/>
      <c r="H3" s="1306"/>
      <c r="I3" s="1307"/>
      <c r="J3" s="1312" t="s">
        <v>695</v>
      </c>
      <c r="K3" s="1313"/>
    </row>
    <row r="4" spans="1:11" s="457" customFormat="1" ht="23.25" customHeight="1" x14ac:dyDescent="0.25">
      <c r="A4" s="1294"/>
      <c r="B4" s="1297"/>
      <c r="C4" s="1300"/>
      <c r="D4" s="1324"/>
      <c r="E4" s="1325"/>
      <c r="F4" s="1308"/>
      <c r="G4" s="1309"/>
      <c r="H4" s="1310"/>
      <c r="I4" s="1311"/>
      <c r="J4" s="1314"/>
      <c r="K4" s="1311"/>
    </row>
    <row r="5" spans="1:11" s="457" customFormat="1" ht="21.75" customHeight="1" x14ac:dyDescent="0.25">
      <c r="A5" s="1294"/>
      <c r="B5" s="1297"/>
      <c r="C5" s="1300"/>
      <c r="D5" s="1326" t="s">
        <v>440</v>
      </c>
      <c r="E5" s="1328" t="s">
        <v>696</v>
      </c>
      <c r="F5" s="1315" t="s">
        <v>718</v>
      </c>
      <c r="G5" s="1314"/>
      <c r="H5" s="1316" t="s">
        <v>719</v>
      </c>
      <c r="I5" s="1317"/>
      <c r="J5" s="1318" t="s">
        <v>699</v>
      </c>
      <c r="K5" s="1320" t="s">
        <v>700</v>
      </c>
    </row>
    <row r="6" spans="1:11" s="457" customFormat="1" ht="38.25" customHeight="1" thickBot="1" x14ac:dyDescent="0.3">
      <c r="A6" s="1295"/>
      <c r="B6" s="1298"/>
      <c r="C6" s="1301"/>
      <c r="D6" s="1327"/>
      <c r="E6" s="1329"/>
      <c r="F6" s="458" t="s">
        <v>697</v>
      </c>
      <c r="G6" s="459" t="s">
        <v>698</v>
      </c>
      <c r="H6" s="460" t="s">
        <v>697</v>
      </c>
      <c r="I6" s="398" t="s">
        <v>698</v>
      </c>
      <c r="J6" s="1319"/>
      <c r="K6" s="1321"/>
    </row>
    <row r="7" spans="1:11" ht="12.75" customHeight="1" x14ac:dyDescent="0.25">
      <c r="A7" s="1290" t="s">
        <v>44</v>
      </c>
      <c r="B7" s="1291"/>
      <c r="C7" s="1292"/>
      <c r="D7" s="410">
        <f t="shared" ref="D7:K7" si="0">SUM(D8:D145)-D88</f>
        <v>428173</v>
      </c>
      <c r="E7" s="411">
        <f t="shared" si="0"/>
        <v>94934</v>
      </c>
      <c r="F7" s="412">
        <f t="shared" si="0"/>
        <v>17272</v>
      </c>
      <c r="G7" s="411">
        <f t="shared" si="0"/>
        <v>172718</v>
      </c>
      <c r="H7" s="455">
        <f t="shared" si="0"/>
        <v>525</v>
      </c>
      <c r="I7" s="413">
        <f t="shared" si="0"/>
        <v>24674</v>
      </c>
      <c r="J7" s="414">
        <f t="shared" si="0"/>
        <v>1525</v>
      </c>
      <c r="K7" s="400">
        <f t="shared" si="0"/>
        <v>18290</v>
      </c>
    </row>
    <row r="8" spans="1:11" x14ac:dyDescent="0.25">
      <c r="A8" s="456">
        <v>1</v>
      </c>
      <c r="B8" s="415" t="s">
        <v>54</v>
      </c>
      <c r="C8" s="429" t="s">
        <v>55</v>
      </c>
      <c r="D8" s="402">
        <v>1884</v>
      </c>
      <c r="E8" s="416">
        <v>464</v>
      </c>
      <c r="F8" s="402"/>
      <c r="G8" s="403"/>
      <c r="H8" s="403"/>
      <c r="I8" s="406"/>
      <c r="J8" s="417"/>
      <c r="K8" s="406"/>
    </row>
    <row r="9" spans="1:11" x14ac:dyDescent="0.25">
      <c r="A9" s="456">
        <v>2</v>
      </c>
      <c r="B9" s="418" t="s">
        <v>56</v>
      </c>
      <c r="C9" s="429" t="s">
        <v>57</v>
      </c>
      <c r="D9" s="402">
        <v>1928</v>
      </c>
      <c r="E9" s="406">
        <v>479</v>
      </c>
      <c r="F9" s="402"/>
      <c r="G9" s="403"/>
      <c r="H9" s="403"/>
      <c r="I9" s="406"/>
      <c r="J9" s="417"/>
      <c r="K9" s="406"/>
    </row>
    <row r="10" spans="1:11" x14ac:dyDescent="0.25">
      <c r="A10" s="456">
        <v>3</v>
      </c>
      <c r="B10" s="454" t="s">
        <v>16</v>
      </c>
      <c r="C10" s="429" t="s">
        <v>17</v>
      </c>
      <c r="D10" s="402">
        <v>6725</v>
      </c>
      <c r="E10" s="406">
        <v>2148</v>
      </c>
      <c r="F10" s="402">
        <v>575</v>
      </c>
      <c r="G10" s="403">
        <v>5746</v>
      </c>
      <c r="H10" s="403"/>
      <c r="I10" s="406"/>
      <c r="J10" s="417">
        <v>181</v>
      </c>
      <c r="K10" s="406">
        <v>2170</v>
      </c>
    </row>
    <row r="11" spans="1:11" x14ac:dyDescent="0.25">
      <c r="A11" s="456">
        <v>4</v>
      </c>
      <c r="B11" s="415" t="s">
        <v>58</v>
      </c>
      <c r="C11" s="429" t="s">
        <v>59</v>
      </c>
      <c r="D11" s="402">
        <v>2250</v>
      </c>
      <c r="E11" s="406">
        <v>647</v>
      </c>
      <c r="F11" s="402"/>
      <c r="G11" s="403"/>
      <c r="H11" s="403"/>
      <c r="I11" s="406"/>
      <c r="J11" s="417"/>
      <c r="K11" s="406"/>
    </row>
    <row r="12" spans="1:11" ht="12" customHeight="1" x14ac:dyDescent="0.25">
      <c r="A12" s="456">
        <v>5</v>
      </c>
      <c r="B12" s="415" t="s">
        <v>60</v>
      </c>
      <c r="C12" s="429" t="s">
        <v>61</v>
      </c>
      <c r="D12" s="402">
        <v>2243</v>
      </c>
      <c r="E12" s="406">
        <v>679</v>
      </c>
      <c r="F12" s="402"/>
      <c r="G12" s="403"/>
      <c r="H12" s="403"/>
      <c r="I12" s="406"/>
      <c r="J12" s="417"/>
      <c r="K12" s="406"/>
    </row>
    <row r="13" spans="1:11" x14ac:dyDescent="0.25">
      <c r="A13" s="456">
        <v>6</v>
      </c>
      <c r="B13" s="454" t="s">
        <v>18</v>
      </c>
      <c r="C13" s="429" t="s">
        <v>19</v>
      </c>
      <c r="D13" s="402">
        <v>20167</v>
      </c>
      <c r="E13" s="406">
        <v>1749</v>
      </c>
      <c r="F13" s="402">
        <v>1284</v>
      </c>
      <c r="G13" s="403">
        <v>12844</v>
      </c>
      <c r="H13" s="403"/>
      <c r="I13" s="406"/>
      <c r="J13" s="417">
        <v>129</v>
      </c>
      <c r="K13" s="406">
        <v>1550</v>
      </c>
    </row>
    <row r="14" spans="1:11" x14ac:dyDescent="0.25">
      <c r="A14" s="456">
        <v>7</v>
      </c>
      <c r="B14" s="415" t="s">
        <v>62</v>
      </c>
      <c r="C14" s="429" t="s">
        <v>63</v>
      </c>
      <c r="D14" s="402">
        <v>6425</v>
      </c>
      <c r="E14" s="406">
        <v>449</v>
      </c>
      <c r="F14" s="402"/>
      <c r="G14" s="403"/>
      <c r="H14" s="403"/>
      <c r="I14" s="406"/>
      <c r="J14" s="417"/>
      <c r="K14" s="406"/>
    </row>
    <row r="15" spans="1:11" x14ac:dyDescent="0.25">
      <c r="A15" s="456">
        <v>8</v>
      </c>
      <c r="B15" s="454" t="s">
        <v>64</v>
      </c>
      <c r="C15" s="429" t="s">
        <v>65</v>
      </c>
      <c r="D15" s="402">
        <v>2279</v>
      </c>
      <c r="E15" s="406">
        <v>422</v>
      </c>
      <c r="F15" s="402"/>
      <c r="G15" s="403"/>
      <c r="H15" s="403"/>
      <c r="I15" s="406"/>
      <c r="J15" s="417"/>
      <c r="K15" s="406"/>
    </row>
    <row r="16" spans="1:11" x14ac:dyDescent="0.25">
      <c r="A16" s="456">
        <v>9</v>
      </c>
      <c r="B16" s="454" t="s">
        <v>66</v>
      </c>
      <c r="C16" s="429" t="s">
        <v>67</v>
      </c>
      <c r="D16" s="402">
        <v>2494</v>
      </c>
      <c r="E16" s="406">
        <v>990</v>
      </c>
      <c r="F16" s="402">
        <v>203</v>
      </c>
      <c r="G16" s="403">
        <v>2028</v>
      </c>
      <c r="H16" s="403"/>
      <c r="I16" s="406"/>
      <c r="J16" s="417"/>
      <c r="K16" s="406"/>
    </row>
    <row r="17" spans="1:11" x14ac:dyDescent="0.25">
      <c r="A17" s="456">
        <v>10</v>
      </c>
      <c r="B17" s="454" t="s">
        <v>68</v>
      </c>
      <c r="C17" s="429" t="s">
        <v>69</v>
      </c>
      <c r="D17" s="402"/>
      <c r="E17" s="406"/>
      <c r="F17" s="402"/>
      <c r="G17" s="403"/>
      <c r="H17" s="403"/>
      <c r="I17" s="406"/>
      <c r="J17" s="417"/>
      <c r="K17" s="406"/>
    </row>
    <row r="18" spans="1:11" x14ac:dyDescent="0.25">
      <c r="A18" s="456">
        <v>11</v>
      </c>
      <c r="B18" s="454" t="s">
        <v>70</v>
      </c>
      <c r="C18" s="429" t="s">
        <v>71</v>
      </c>
      <c r="D18" s="402">
        <v>2230</v>
      </c>
      <c r="E18" s="406">
        <v>612</v>
      </c>
      <c r="F18" s="402"/>
      <c r="G18" s="403"/>
      <c r="H18" s="403"/>
      <c r="I18" s="406"/>
      <c r="J18" s="417"/>
      <c r="K18" s="406"/>
    </row>
    <row r="19" spans="1:11" x14ac:dyDescent="0.25">
      <c r="A19" s="456">
        <v>12</v>
      </c>
      <c r="B19" s="454" t="s">
        <v>72</v>
      </c>
      <c r="C19" s="429" t="s">
        <v>73</v>
      </c>
      <c r="D19" s="402">
        <v>4613</v>
      </c>
      <c r="E19" s="406">
        <v>830</v>
      </c>
      <c r="F19" s="402"/>
      <c r="G19" s="403"/>
      <c r="H19" s="403"/>
      <c r="I19" s="406"/>
      <c r="J19" s="417"/>
      <c r="K19" s="406"/>
    </row>
    <row r="20" spans="1:11" ht="12" customHeight="1" x14ac:dyDescent="0.25">
      <c r="A20" s="456">
        <v>13</v>
      </c>
      <c r="B20" s="454" t="s">
        <v>74</v>
      </c>
      <c r="C20" s="429" t="s">
        <v>75</v>
      </c>
      <c r="D20" s="402"/>
      <c r="E20" s="406"/>
      <c r="F20" s="402"/>
      <c r="G20" s="403"/>
      <c r="H20" s="403"/>
      <c r="I20" s="406"/>
      <c r="J20" s="417"/>
      <c r="K20" s="406"/>
    </row>
    <row r="21" spans="1:11" ht="12" customHeight="1" x14ac:dyDescent="0.25">
      <c r="A21" s="456">
        <v>14</v>
      </c>
      <c r="B21" s="454" t="s">
        <v>76</v>
      </c>
      <c r="C21" s="429" t="s">
        <v>77</v>
      </c>
      <c r="D21" s="402">
        <v>3164</v>
      </c>
      <c r="E21" s="406">
        <v>343</v>
      </c>
      <c r="F21" s="402"/>
      <c r="G21" s="403"/>
      <c r="H21" s="403"/>
      <c r="I21" s="406"/>
      <c r="J21" s="417"/>
      <c r="K21" s="406"/>
    </row>
    <row r="22" spans="1:11" x14ac:dyDescent="0.25">
      <c r="A22" s="456">
        <v>15</v>
      </c>
      <c r="B22" s="454" t="s">
        <v>78</v>
      </c>
      <c r="C22" s="429" t="s">
        <v>79</v>
      </c>
      <c r="D22" s="402">
        <v>4808</v>
      </c>
      <c r="E22" s="406">
        <v>815</v>
      </c>
      <c r="F22" s="402">
        <v>203</v>
      </c>
      <c r="G22" s="403">
        <v>2028</v>
      </c>
      <c r="H22" s="403"/>
      <c r="I22" s="406"/>
      <c r="J22" s="417"/>
      <c r="K22" s="406"/>
    </row>
    <row r="23" spans="1:11" x14ac:dyDescent="0.25">
      <c r="A23" s="456">
        <v>16</v>
      </c>
      <c r="B23" s="454" t="s">
        <v>80</v>
      </c>
      <c r="C23" s="429" t="s">
        <v>81</v>
      </c>
      <c r="D23" s="402">
        <v>5802</v>
      </c>
      <c r="E23" s="406">
        <v>609</v>
      </c>
      <c r="F23" s="402">
        <v>473</v>
      </c>
      <c r="G23" s="403">
        <v>4732</v>
      </c>
      <c r="H23" s="403"/>
      <c r="I23" s="406"/>
      <c r="J23" s="417"/>
      <c r="K23" s="406"/>
    </row>
    <row r="24" spans="1:11" x14ac:dyDescent="0.25">
      <c r="A24" s="456">
        <v>17</v>
      </c>
      <c r="B24" s="454" t="s">
        <v>20</v>
      </c>
      <c r="C24" s="429" t="s">
        <v>21</v>
      </c>
      <c r="D24" s="402">
        <v>10499</v>
      </c>
      <c r="E24" s="406">
        <v>5004</v>
      </c>
      <c r="F24" s="402">
        <v>676</v>
      </c>
      <c r="G24" s="403">
        <v>6760</v>
      </c>
      <c r="H24" s="403"/>
      <c r="I24" s="406"/>
      <c r="J24" s="417"/>
      <c r="K24" s="406"/>
    </row>
    <row r="25" spans="1:11" x14ac:dyDescent="0.25">
      <c r="A25" s="456">
        <v>18</v>
      </c>
      <c r="B25" s="415" t="s">
        <v>82</v>
      </c>
      <c r="C25" s="429" t="s">
        <v>83</v>
      </c>
      <c r="D25" s="402">
        <v>1870</v>
      </c>
      <c r="E25" s="406">
        <v>626</v>
      </c>
      <c r="F25" s="402"/>
      <c r="G25" s="403"/>
      <c r="H25" s="403"/>
      <c r="I25" s="406"/>
      <c r="J25" s="417"/>
      <c r="K25" s="406"/>
    </row>
    <row r="26" spans="1:11" x14ac:dyDescent="0.25">
      <c r="A26" s="456">
        <v>19</v>
      </c>
      <c r="B26" s="415" t="s">
        <v>84</v>
      </c>
      <c r="C26" s="429" t="s">
        <v>85</v>
      </c>
      <c r="D26" s="402">
        <v>1544</v>
      </c>
      <c r="E26" s="406">
        <v>425</v>
      </c>
      <c r="F26" s="402"/>
      <c r="G26" s="403"/>
      <c r="H26" s="403"/>
      <c r="I26" s="406"/>
      <c r="J26" s="417"/>
      <c r="K26" s="406"/>
    </row>
    <row r="27" spans="1:11" x14ac:dyDescent="0.25">
      <c r="A27" s="456">
        <v>20</v>
      </c>
      <c r="B27" s="415" t="s">
        <v>86</v>
      </c>
      <c r="C27" s="429" t="s">
        <v>87</v>
      </c>
      <c r="D27" s="402">
        <v>7478</v>
      </c>
      <c r="E27" s="406">
        <v>815</v>
      </c>
      <c r="F27" s="402">
        <v>338</v>
      </c>
      <c r="G27" s="403">
        <v>3380</v>
      </c>
      <c r="H27" s="403"/>
      <c r="I27" s="406"/>
      <c r="J27" s="417"/>
      <c r="K27" s="406"/>
    </row>
    <row r="28" spans="1:11" x14ac:dyDescent="0.25">
      <c r="A28" s="456">
        <v>21</v>
      </c>
      <c r="B28" s="415" t="s">
        <v>22</v>
      </c>
      <c r="C28" s="429" t="s">
        <v>23</v>
      </c>
      <c r="D28" s="402">
        <v>6168</v>
      </c>
      <c r="E28" s="406">
        <v>609</v>
      </c>
      <c r="F28" s="402">
        <v>270</v>
      </c>
      <c r="G28" s="403">
        <v>2704</v>
      </c>
      <c r="H28" s="403"/>
      <c r="I28" s="406"/>
      <c r="J28" s="417"/>
      <c r="K28" s="406"/>
    </row>
    <row r="29" spans="1:11" x14ac:dyDescent="0.25">
      <c r="A29" s="456">
        <v>22</v>
      </c>
      <c r="B29" s="454" t="s">
        <v>24</v>
      </c>
      <c r="C29" s="429" t="s">
        <v>25</v>
      </c>
      <c r="D29" s="402"/>
      <c r="E29" s="406"/>
      <c r="F29" s="402"/>
      <c r="G29" s="403"/>
      <c r="H29" s="403"/>
      <c r="I29" s="406"/>
      <c r="J29" s="417"/>
      <c r="K29" s="406"/>
    </row>
    <row r="30" spans="1:11" x14ac:dyDescent="0.25">
      <c r="A30" s="456">
        <v>23</v>
      </c>
      <c r="B30" s="454" t="s">
        <v>88</v>
      </c>
      <c r="C30" s="429" t="s">
        <v>89</v>
      </c>
      <c r="D30" s="402"/>
      <c r="E30" s="406"/>
      <c r="F30" s="402"/>
      <c r="G30" s="403"/>
      <c r="H30" s="403"/>
      <c r="I30" s="406"/>
      <c r="J30" s="417"/>
      <c r="K30" s="406"/>
    </row>
    <row r="31" spans="1:11" ht="25.5" x14ac:dyDescent="0.25">
      <c r="A31" s="456">
        <v>24</v>
      </c>
      <c r="B31" s="454" t="s">
        <v>90</v>
      </c>
      <c r="C31" s="429" t="s">
        <v>91</v>
      </c>
      <c r="D31" s="402"/>
      <c r="E31" s="406"/>
      <c r="F31" s="402"/>
      <c r="G31" s="403"/>
      <c r="H31" s="403"/>
      <c r="I31" s="406"/>
      <c r="J31" s="417"/>
      <c r="K31" s="406"/>
    </row>
    <row r="32" spans="1:11" x14ac:dyDescent="0.25">
      <c r="A32" s="456">
        <v>25</v>
      </c>
      <c r="B32" s="415" t="s">
        <v>92</v>
      </c>
      <c r="C32" s="429" t="s">
        <v>93</v>
      </c>
      <c r="D32" s="402">
        <v>5245</v>
      </c>
      <c r="E32" s="406">
        <v>957</v>
      </c>
      <c r="F32" s="402"/>
      <c r="G32" s="403"/>
      <c r="H32" s="403"/>
      <c r="I32" s="406"/>
      <c r="J32" s="417"/>
      <c r="K32" s="406"/>
    </row>
    <row r="33" spans="1:11" x14ac:dyDescent="0.25">
      <c r="A33" s="456">
        <v>26</v>
      </c>
      <c r="B33" s="454" t="s">
        <v>94</v>
      </c>
      <c r="C33" s="429" t="s">
        <v>95</v>
      </c>
      <c r="D33" s="402"/>
      <c r="E33" s="406"/>
      <c r="F33" s="402"/>
      <c r="G33" s="403"/>
      <c r="H33" s="403"/>
      <c r="I33" s="406"/>
      <c r="J33" s="417"/>
      <c r="K33" s="406"/>
    </row>
    <row r="34" spans="1:11" x14ac:dyDescent="0.25">
      <c r="A34" s="456">
        <v>27</v>
      </c>
      <c r="B34" s="418" t="s">
        <v>96</v>
      </c>
      <c r="C34" s="429" t="s">
        <v>97</v>
      </c>
      <c r="D34" s="402"/>
      <c r="E34" s="406"/>
      <c r="F34" s="402"/>
      <c r="G34" s="403"/>
      <c r="H34" s="403"/>
      <c r="I34" s="406"/>
      <c r="J34" s="417"/>
      <c r="K34" s="406"/>
    </row>
    <row r="35" spans="1:11" x14ac:dyDescent="0.25">
      <c r="A35" s="456">
        <v>28</v>
      </c>
      <c r="B35" s="418" t="s">
        <v>26</v>
      </c>
      <c r="C35" s="429" t="s">
        <v>27</v>
      </c>
      <c r="D35" s="402">
        <v>8907</v>
      </c>
      <c r="E35" s="406">
        <v>2750</v>
      </c>
      <c r="F35" s="402">
        <v>608</v>
      </c>
      <c r="G35" s="403">
        <v>6084</v>
      </c>
      <c r="H35" s="403"/>
      <c r="I35" s="406"/>
      <c r="J35" s="417"/>
      <c r="K35" s="406"/>
    </row>
    <row r="36" spans="1:11" x14ac:dyDescent="0.25">
      <c r="A36" s="456">
        <v>29</v>
      </c>
      <c r="B36" s="415" t="s">
        <v>98</v>
      </c>
      <c r="C36" s="429" t="s">
        <v>99</v>
      </c>
      <c r="D36" s="402">
        <v>15986</v>
      </c>
      <c r="E36" s="406">
        <v>2130</v>
      </c>
      <c r="F36" s="402">
        <v>710</v>
      </c>
      <c r="G36" s="403">
        <v>7098</v>
      </c>
      <c r="H36" s="403"/>
      <c r="I36" s="406"/>
      <c r="J36" s="417">
        <v>233</v>
      </c>
      <c r="K36" s="406">
        <v>2790</v>
      </c>
    </row>
    <row r="37" spans="1:11" x14ac:dyDescent="0.25">
      <c r="A37" s="456">
        <v>30</v>
      </c>
      <c r="B37" s="418" t="s">
        <v>100</v>
      </c>
      <c r="C37" s="429" t="s">
        <v>101</v>
      </c>
      <c r="D37" s="402">
        <v>2532</v>
      </c>
      <c r="E37" s="406">
        <v>685</v>
      </c>
      <c r="F37" s="402">
        <v>101</v>
      </c>
      <c r="G37" s="403">
        <v>1014</v>
      </c>
      <c r="H37" s="403"/>
      <c r="I37" s="406"/>
      <c r="J37" s="417"/>
      <c r="K37" s="406"/>
    </row>
    <row r="38" spans="1:11" x14ac:dyDescent="0.25">
      <c r="A38" s="456">
        <v>31</v>
      </c>
      <c r="B38" s="454" t="s">
        <v>102</v>
      </c>
      <c r="C38" s="429" t="s">
        <v>103</v>
      </c>
      <c r="D38" s="402">
        <v>9029</v>
      </c>
      <c r="E38" s="406">
        <v>1058</v>
      </c>
      <c r="F38" s="402">
        <v>406</v>
      </c>
      <c r="G38" s="403">
        <v>4056</v>
      </c>
      <c r="H38" s="403"/>
      <c r="I38" s="406"/>
      <c r="J38" s="417">
        <v>155</v>
      </c>
      <c r="K38" s="406">
        <v>1860</v>
      </c>
    </row>
    <row r="39" spans="1:11" x14ac:dyDescent="0.25">
      <c r="A39" s="456">
        <v>32</v>
      </c>
      <c r="B39" s="418" t="s">
        <v>104</v>
      </c>
      <c r="C39" s="429" t="s">
        <v>105</v>
      </c>
      <c r="D39" s="402">
        <v>3195</v>
      </c>
      <c r="E39" s="406">
        <v>1131</v>
      </c>
      <c r="F39" s="402">
        <v>135</v>
      </c>
      <c r="G39" s="403">
        <v>1352</v>
      </c>
      <c r="H39" s="403"/>
      <c r="I39" s="406"/>
      <c r="J39" s="417"/>
      <c r="K39" s="406"/>
    </row>
    <row r="40" spans="1:11" x14ac:dyDescent="0.25">
      <c r="A40" s="456">
        <v>33</v>
      </c>
      <c r="B40" s="415" t="s">
        <v>106</v>
      </c>
      <c r="C40" s="429" t="s">
        <v>107</v>
      </c>
      <c r="D40" s="402">
        <v>8717</v>
      </c>
      <c r="E40" s="406">
        <v>3120</v>
      </c>
      <c r="F40" s="402">
        <v>372</v>
      </c>
      <c r="G40" s="403">
        <v>3718</v>
      </c>
      <c r="H40" s="403"/>
      <c r="I40" s="406"/>
      <c r="J40" s="417"/>
      <c r="K40" s="406"/>
    </row>
    <row r="41" spans="1:11" x14ac:dyDescent="0.25">
      <c r="A41" s="456">
        <v>34</v>
      </c>
      <c r="B41" s="368" t="s">
        <v>108</v>
      </c>
      <c r="C41" s="320" t="s">
        <v>109</v>
      </c>
      <c r="D41" s="402">
        <v>2855</v>
      </c>
      <c r="E41" s="406">
        <v>768</v>
      </c>
      <c r="F41" s="402"/>
      <c r="G41" s="403"/>
      <c r="H41" s="403"/>
      <c r="I41" s="406"/>
      <c r="J41" s="417"/>
      <c r="K41" s="406"/>
    </row>
    <row r="42" spans="1:11" x14ac:dyDescent="0.25">
      <c r="A42" s="456">
        <v>35</v>
      </c>
      <c r="B42" s="415" t="s">
        <v>110</v>
      </c>
      <c r="C42" s="429" t="s">
        <v>111</v>
      </c>
      <c r="D42" s="402">
        <v>1769</v>
      </c>
      <c r="E42" s="406">
        <v>378</v>
      </c>
      <c r="F42" s="402"/>
      <c r="G42" s="403"/>
      <c r="H42" s="403"/>
      <c r="I42" s="406"/>
      <c r="J42" s="417"/>
      <c r="K42" s="406"/>
    </row>
    <row r="43" spans="1:11" x14ac:dyDescent="0.25">
      <c r="A43" s="456">
        <v>36</v>
      </c>
      <c r="B43" s="415" t="s">
        <v>112</v>
      </c>
      <c r="C43" s="429" t="s">
        <v>113</v>
      </c>
      <c r="D43" s="402">
        <v>3218</v>
      </c>
      <c r="E43" s="406">
        <v>768</v>
      </c>
      <c r="F43" s="402"/>
      <c r="G43" s="403"/>
      <c r="H43" s="403"/>
      <c r="I43" s="406"/>
      <c r="J43" s="417"/>
      <c r="K43" s="406"/>
    </row>
    <row r="44" spans="1:11" x14ac:dyDescent="0.25">
      <c r="A44" s="456">
        <v>37</v>
      </c>
      <c r="B44" s="454" t="s">
        <v>114</v>
      </c>
      <c r="C44" s="429" t="s">
        <v>115</v>
      </c>
      <c r="D44" s="402">
        <v>1660</v>
      </c>
      <c r="E44" s="406">
        <v>591</v>
      </c>
      <c r="F44" s="402"/>
      <c r="G44" s="403"/>
      <c r="H44" s="403"/>
      <c r="I44" s="406"/>
      <c r="J44" s="417"/>
      <c r="K44" s="406"/>
    </row>
    <row r="45" spans="1:11" x14ac:dyDescent="0.25">
      <c r="A45" s="456">
        <v>38</v>
      </c>
      <c r="B45" s="418" t="s">
        <v>116</v>
      </c>
      <c r="C45" s="429" t="s">
        <v>117</v>
      </c>
      <c r="D45" s="402"/>
      <c r="E45" s="406"/>
      <c r="F45" s="402"/>
      <c r="G45" s="403"/>
      <c r="H45" s="403"/>
      <c r="I45" s="406"/>
      <c r="J45" s="417"/>
      <c r="K45" s="406"/>
    </row>
    <row r="46" spans="1:11" x14ac:dyDescent="0.25">
      <c r="A46" s="456">
        <v>39</v>
      </c>
      <c r="B46" s="454" t="s">
        <v>28</v>
      </c>
      <c r="C46" s="429" t="s">
        <v>29</v>
      </c>
      <c r="D46" s="402">
        <v>12847</v>
      </c>
      <c r="E46" s="406">
        <v>3049</v>
      </c>
      <c r="F46" s="402">
        <v>575</v>
      </c>
      <c r="G46" s="403">
        <v>5746</v>
      </c>
      <c r="H46" s="403"/>
      <c r="I46" s="406"/>
      <c r="J46" s="417"/>
      <c r="K46" s="406"/>
    </row>
    <row r="47" spans="1:11" x14ac:dyDescent="0.25">
      <c r="A47" s="456">
        <v>40</v>
      </c>
      <c r="B47" s="415" t="s">
        <v>118</v>
      </c>
      <c r="C47" s="429" t="s">
        <v>119</v>
      </c>
      <c r="D47" s="402">
        <v>2691</v>
      </c>
      <c r="E47" s="406">
        <v>777</v>
      </c>
      <c r="F47" s="402"/>
      <c r="G47" s="403"/>
      <c r="H47" s="403"/>
      <c r="I47" s="406"/>
      <c r="J47" s="417"/>
      <c r="K47" s="406"/>
    </row>
    <row r="48" spans="1:11" x14ac:dyDescent="0.25">
      <c r="A48" s="456">
        <v>41</v>
      </c>
      <c r="B48" s="415" t="s">
        <v>120</v>
      </c>
      <c r="C48" s="429" t="s">
        <v>121</v>
      </c>
      <c r="D48" s="402">
        <v>10400</v>
      </c>
      <c r="E48" s="406">
        <v>3888</v>
      </c>
      <c r="F48" s="402">
        <v>642</v>
      </c>
      <c r="G48" s="403">
        <v>6422</v>
      </c>
      <c r="H48" s="403"/>
      <c r="I48" s="406"/>
      <c r="J48" s="417"/>
      <c r="K48" s="406"/>
    </row>
    <row r="49" spans="1:11" x14ac:dyDescent="0.25">
      <c r="A49" s="456">
        <v>42</v>
      </c>
      <c r="B49" s="454" t="s">
        <v>122</v>
      </c>
      <c r="C49" s="429" t="s">
        <v>123</v>
      </c>
      <c r="D49" s="402">
        <v>2256</v>
      </c>
      <c r="E49" s="406">
        <v>523</v>
      </c>
      <c r="F49" s="402"/>
      <c r="G49" s="403"/>
      <c r="H49" s="403"/>
      <c r="I49" s="406"/>
      <c r="J49" s="417"/>
      <c r="K49" s="406"/>
    </row>
    <row r="50" spans="1:11" x14ac:dyDescent="0.25">
      <c r="A50" s="456">
        <v>43</v>
      </c>
      <c r="B50" s="418" t="s">
        <v>124</v>
      </c>
      <c r="C50" s="429" t="s">
        <v>125</v>
      </c>
      <c r="D50" s="402">
        <v>2759</v>
      </c>
      <c r="E50" s="406">
        <v>1140</v>
      </c>
      <c r="F50" s="402">
        <v>135</v>
      </c>
      <c r="G50" s="403">
        <v>1352</v>
      </c>
      <c r="H50" s="403"/>
      <c r="I50" s="406"/>
      <c r="J50" s="417"/>
      <c r="K50" s="406"/>
    </row>
    <row r="51" spans="1:11" x14ac:dyDescent="0.25">
      <c r="A51" s="456">
        <v>44</v>
      </c>
      <c r="B51" s="454" t="s">
        <v>126</v>
      </c>
      <c r="C51" s="429" t="s">
        <v>127</v>
      </c>
      <c r="D51" s="402">
        <v>3310</v>
      </c>
      <c r="E51" s="406">
        <v>511</v>
      </c>
      <c r="F51" s="402"/>
      <c r="G51" s="403"/>
      <c r="H51" s="403"/>
      <c r="I51" s="406"/>
      <c r="J51" s="417"/>
      <c r="K51" s="406"/>
    </row>
    <row r="52" spans="1:11" x14ac:dyDescent="0.25">
      <c r="A52" s="456">
        <v>45</v>
      </c>
      <c r="B52" s="418" t="s">
        <v>128</v>
      </c>
      <c r="C52" s="429" t="s">
        <v>129</v>
      </c>
      <c r="D52" s="402">
        <v>3865</v>
      </c>
      <c r="E52" s="406">
        <v>2145</v>
      </c>
      <c r="F52" s="402">
        <v>338</v>
      </c>
      <c r="G52" s="403">
        <v>3380</v>
      </c>
      <c r="H52" s="403"/>
      <c r="I52" s="406"/>
      <c r="J52" s="417"/>
      <c r="K52" s="406"/>
    </row>
    <row r="53" spans="1:11" x14ac:dyDescent="0.25">
      <c r="A53" s="456">
        <v>46</v>
      </c>
      <c r="B53" s="454" t="s">
        <v>130</v>
      </c>
      <c r="C53" s="429" t="s">
        <v>131</v>
      </c>
      <c r="D53" s="402">
        <v>1538</v>
      </c>
      <c r="E53" s="406">
        <v>301</v>
      </c>
      <c r="F53" s="402"/>
      <c r="G53" s="403"/>
      <c r="H53" s="403"/>
      <c r="I53" s="406"/>
      <c r="J53" s="417"/>
      <c r="K53" s="406"/>
    </row>
    <row r="54" spans="1:11" x14ac:dyDescent="0.25">
      <c r="A54" s="456">
        <v>47</v>
      </c>
      <c r="B54" s="418" t="s">
        <v>132</v>
      </c>
      <c r="C54" s="429" t="s">
        <v>133</v>
      </c>
      <c r="D54" s="402">
        <v>2487</v>
      </c>
      <c r="E54" s="406">
        <v>461</v>
      </c>
      <c r="F54" s="402"/>
      <c r="G54" s="403"/>
      <c r="H54" s="403"/>
      <c r="I54" s="406"/>
      <c r="J54" s="417"/>
      <c r="K54" s="406"/>
    </row>
    <row r="55" spans="1:11" x14ac:dyDescent="0.25">
      <c r="A55" s="456">
        <v>48</v>
      </c>
      <c r="B55" s="454" t="s">
        <v>134</v>
      </c>
      <c r="C55" s="429" t="s">
        <v>135</v>
      </c>
      <c r="D55" s="402">
        <v>3841</v>
      </c>
      <c r="E55" s="406">
        <v>916</v>
      </c>
      <c r="F55" s="402"/>
      <c r="G55" s="403"/>
      <c r="H55" s="403"/>
      <c r="I55" s="406"/>
      <c r="J55" s="417"/>
      <c r="K55" s="406"/>
    </row>
    <row r="56" spans="1:11" x14ac:dyDescent="0.25">
      <c r="A56" s="456">
        <v>49</v>
      </c>
      <c r="B56" s="454" t="s">
        <v>136</v>
      </c>
      <c r="C56" s="429" t="s">
        <v>137</v>
      </c>
      <c r="D56" s="402">
        <v>14258</v>
      </c>
      <c r="E56" s="406">
        <v>6145</v>
      </c>
      <c r="F56" s="402">
        <v>845</v>
      </c>
      <c r="G56" s="403">
        <v>8450</v>
      </c>
      <c r="H56" s="403"/>
      <c r="I56" s="406"/>
      <c r="J56" s="417">
        <v>233</v>
      </c>
      <c r="K56" s="406">
        <v>2790</v>
      </c>
    </row>
    <row r="57" spans="1:11" x14ac:dyDescent="0.25">
      <c r="A57" s="456">
        <v>50</v>
      </c>
      <c r="B57" s="454" t="s">
        <v>138</v>
      </c>
      <c r="C57" s="429" t="s">
        <v>139</v>
      </c>
      <c r="D57" s="402">
        <v>3024</v>
      </c>
      <c r="E57" s="406">
        <v>567</v>
      </c>
      <c r="F57" s="402"/>
      <c r="G57" s="403"/>
      <c r="H57" s="403"/>
      <c r="I57" s="406"/>
      <c r="J57" s="417"/>
      <c r="K57" s="406"/>
    </row>
    <row r="58" spans="1:11" x14ac:dyDescent="0.25">
      <c r="A58" s="456">
        <v>51</v>
      </c>
      <c r="B58" s="454" t="s">
        <v>140</v>
      </c>
      <c r="C58" s="429" t="s">
        <v>141</v>
      </c>
      <c r="D58" s="402">
        <v>2029</v>
      </c>
      <c r="E58" s="406">
        <v>384</v>
      </c>
      <c r="F58" s="402"/>
      <c r="G58" s="403"/>
      <c r="H58" s="403"/>
      <c r="I58" s="406"/>
      <c r="J58" s="417"/>
      <c r="K58" s="406"/>
    </row>
    <row r="59" spans="1:11" x14ac:dyDescent="0.25">
      <c r="A59" s="456">
        <v>52</v>
      </c>
      <c r="B59" s="418" t="s">
        <v>142</v>
      </c>
      <c r="C59" s="429" t="s">
        <v>143</v>
      </c>
      <c r="D59" s="402">
        <v>2588</v>
      </c>
      <c r="E59" s="406">
        <v>685</v>
      </c>
      <c r="F59" s="402"/>
      <c r="G59" s="403"/>
      <c r="H59" s="403"/>
      <c r="I59" s="406"/>
      <c r="J59" s="417"/>
      <c r="K59" s="406"/>
    </row>
    <row r="60" spans="1:11" x14ac:dyDescent="0.25">
      <c r="A60" s="456">
        <v>53</v>
      </c>
      <c r="B60" s="454" t="s">
        <v>144</v>
      </c>
      <c r="C60" s="429" t="s">
        <v>145</v>
      </c>
      <c r="D60" s="402"/>
      <c r="E60" s="406"/>
      <c r="F60" s="402"/>
      <c r="G60" s="403"/>
      <c r="H60" s="403"/>
      <c r="I60" s="406"/>
      <c r="J60" s="417"/>
      <c r="K60" s="406"/>
    </row>
    <row r="61" spans="1:11" ht="13.5" customHeight="1" x14ac:dyDescent="0.25">
      <c r="A61" s="456">
        <v>54</v>
      </c>
      <c r="B61" s="454" t="s">
        <v>146</v>
      </c>
      <c r="C61" s="429" t="s">
        <v>147</v>
      </c>
      <c r="D61" s="402"/>
      <c r="E61" s="406"/>
      <c r="F61" s="402"/>
      <c r="G61" s="403"/>
      <c r="H61" s="403"/>
      <c r="I61" s="406"/>
      <c r="J61" s="417"/>
      <c r="K61" s="406"/>
    </row>
    <row r="62" spans="1:11" x14ac:dyDescent="0.25">
      <c r="A62" s="456">
        <v>55</v>
      </c>
      <c r="B62" s="454" t="s">
        <v>148</v>
      </c>
      <c r="C62" s="429" t="s">
        <v>149</v>
      </c>
      <c r="D62" s="402"/>
      <c r="E62" s="406"/>
      <c r="F62" s="402"/>
      <c r="G62" s="403"/>
      <c r="H62" s="403"/>
      <c r="I62" s="406"/>
      <c r="J62" s="417"/>
      <c r="K62" s="406"/>
    </row>
    <row r="63" spans="1:11" x14ac:dyDescent="0.25">
      <c r="A63" s="456">
        <v>56</v>
      </c>
      <c r="B63" s="418" t="s">
        <v>150</v>
      </c>
      <c r="C63" s="429" t="s">
        <v>151</v>
      </c>
      <c r="D63" s="402"/>
      <c r="E63" s="406"/>
      <c r="F63" s="402"/>
      <c r="G63" s="403"/>
      <c r="H63" s="403"/>
      <c r="I63" s="406"/>
      <c r="J63" s="417"/>
      <c r="K63" s="406"/>
    </row>
    <row r="64" spans="1:11" x14ac:dyDescent="0.25">
      <c r="A64" s="456">
        <v>57</v>
      </c>
      <c r="B64" s="415" t="s">
        <v>152</v>
      </c>
      <c r="C64" s="429" t="s">
        <v>153</v>
      </c>
      <c r="D64" s="402"/>
      <c r="E64" s="406"/>
      <c r="F64" s="402"/>
      <c r="G64" s="403"/>
      <c r="H64" s="403"/>
      <c r="I64" s="406"/>
      <c r="J64" s="417"/>
      <c r="K64" s="406"/>
    </row>
    <row r="65" spans="1:11" x14ac:dyDescent="0.25">
      <c r="A65" s="456">
        <v>58</v>
      </c>
      <c r="B65" s="418" t="s">
        <v>154</v>
      </c>
      <c r="C65" s="429" t="s">
        <v>155</v>
      </c>
      <c r="D65" s="402"/>
      <c r="E65" s="406"/>
      <c r="F65" s="402"/>
      <c r="G65" s="403"/>
      <c r="H65" s="403"/>
      <c r="I65" s="406"/>
      <c r="J65" s="417"/>
      <c r="K65" s="406"/>
    </row>
    <row r="66" spans="1:11" x14ac:dyDescent="0.25">
      <c r="A66" s="456">
        <v>59</v>
      </c>
      <c r="B66" s="454" t="s">
        <v>156</v>
      </c>
      <c r="C66" s="429" t="s">
        <v>157</v>
      </c>
      <c r="D66" s="402"/>
      <c r="E66" s="406"/>
      <c r="F66" s="402"/>
      <c r="G66" s="403"/>
      <c r="H66" s="403"/>
      <c r="I66" s="406"/>
      <c r="J66" s="417"/>
      <c r="K66" s="406"/>
    </row>
    <row r="67" spans="1:11" ht="26.25" customHeight="1" x14ac:dyDescent="0.25">
      <c r="A67" s="456">
        <v>60</v>
      </c>
      <c r="B67" s="415" t="s">
        <v>158</v>
      </c>
      <c r="C67" s="429" t="s">
        <v>159</v>
      </c>
      <c r="D67" s="402"/>
      <c r="E67" s="406"/>
      <c r="F67" s="402"/>
      <c r="G67" s="403"/>
      <c r="H67" s="403"/>
      <c r="I67" s="406"/>
      <c r="J67" s="417"/>
      <c r="K67" s="406"/>
    </row>
    <row r="68" spans="1:11" ht="26.25" customHeight="1" x14ac:dyDescent="0.25">
      <c r="A68" s="456">
        <v>61</v>
      </c>
      <c r="B68" s="415" t="s">
        <v>160</v>
      </c>
      <c r="C68" s="429" t="s">
        <v>161</v>
      </c>
      <c r="D68" s="402"/>
      <c r="E68" s="406"/>
      <c r="F68" s="402"/>
      <c r="G68" s="403"/>
      <c r="H68" s="403"/>
      <c r="I68" s="406"/>
      <c r="J68" s="417"/>
      <c r="K68" s="406"/>
    </row>
    <row r="69" spans="1:11" x14ac:dyDescent="0.25">
      <c r="A69" s="456">
        <v>62</v>
      </c>
      <c r="B69" s="418" t="s">
        <v>162</v>
      </c>
      <c r="C69" s="429" t="s">
        <v>163</v>
      </c>
      <c r="D69" s="402"/>
      <c r="E69" s="406"/>
      <c r="F69" s="402"/>
      <c r="G69" s="403"/>
      <c r="H69" s="403"/>
      <c r="I69" s="406"/>
      <c r="J69" s="417"/>
      <c r="K69" s="406"/>
    </row>
    <row r="70" spans="1:11" x14ac:dyDescent="0.25">
      <c r="A70" s="456">
        <v>63</v>
      </c>
      <c r="B70" s="418" t="s">
        <v>164</v>
      </c>
      <c r="C70" s="429" t="s">
        <v>165</v>
      </c>
      <c r="D70" s="402"/>
      <c r="E70" s="406"/>
      <c r="F70" s="402"/>
      <c r="G70" s="403"/>
      <c r="H70" s="403"/>
      <c r="I70" s="406"/>
      <c r="J70" s="417"/>
      <c r="K70" s="406"/>
    </row>
    <row r="71" spans="1:11" x14ac:dyDescent="0.25">
      <c r="A71" s="456">
        <v>64</v>
      </c>
      <c r="B71" s="418" t="s">
        <v>166</v>
      </c>
      <c r="C71" s="429" t="s">
        <v>167</v>
      </c>
      <c r="D71" s="402"/>
      <c r="E71" s="406"/>
      <c r="F71" s="402"/>
      <c r="G71" s="403"/>
      <c r="H71" s="403"/>
      <c r="I71" s="406"/>
      <c r="J71" s="417"/>
      <c r="K71" s="406"/>
    </row>
    <row r="72" spans="1:11" ht="25.5" x14ac:dyDescent="0.25">
      <c r="A72" s="456">
        <v>65</v>
      </c>
      <c r="B72" s="418" t="s">
        <v>168</v>
      </c>
      <c r="C72" s="429" t="s">
        <v>169</v>
      </c>
      <c r="D72" s="402"/>
      <c r="E72" s="406"/>
      <c r="F72" s="402"/>
      <c r="G72" s="403"/>
      <c r="H72" s="403"/>
      <c r="I72" s="406"/>
      <c r="J72" s="417"/>
      <c r="K72" s="406"/>
    </row>
    <row r="73" spans="1:11" ht="25.5" x14ac:dyDescent="0.25">
      <c r="A73" s="456">
        <v>66</v>
      </c>
      <c r="B73" s="415" t="s">
        <v>170</v>
      </c>
      <c r="C73" s="429" t="s">
        <v>171</v>
      </c>
      <c r="D73" s="402"/>
      <c r="E73" s="406"/>
      <c r="F73" s="402"/>
      <c r="G73" s="403"/>
      <c r="H73" s="403"/>
      <c r="I73" s="406"/>
      <c r="J73" s="417"/>
      <c r="K73" s="406"/>
    </row>
    <row r="74" spans="1:11" ht="25.5" x14ac:dyDescent="0.25">
      <c r="A74" s="456">
        <v>67</v>
      </c>
      <c r="B74" s="418" t="s">
        <v>172</v>
      </c>
      <c r="C74" s="429" t="s">
        <v>173</v>
      </c>
      <c r="D74" s="402"/>
      <c r="E74" s="406"/>
      <c r="F74" s="402"/>
      <c r="G74" s="403"/>
      <c r="H74" s="403"/>
      <c r="I74" s="406"/>
      <c r="J74" s="417"/>
      <c r="K74" s="406"/>
    </row>
    <row r="75" spans="1:11" ht="25.5" x14ac:dyDescent="0.25">
      <c r="A75" s="456">
        <v>68</v>
      </c>
      <c r="B75" s="418" t="s">
        <v>174</v>
      </c>
      <c r="C75" s="429" t="s">
        <v>175</v>
      </c>
      <c r="D75" s="402"/>
      <c r="E75" s="406"/>
      <c r="F75" s="402"/>
      <c r="G75" s="403"/>
      <c r="H75" s="403"/>
      <c r="I75" s="406"/>
      <c r="J75" s="417"/>
      <c r="K75" s="406"/>
    </row>
    <row r="76" spans="1:11" ht="25.5" x14ac:dyDescent="0.25">
      <c r="A76" s="456">
        <v>69</v>
      </c>
      <c r="B76" s="415" t="s">
        <v>176</v>
      </c>
      <c r="C76" s="429" t="s">
        <v>177</v>
      </c>
      <c r="D76" s="402"/>
      <c r="E76" s="406"/>
      <c r="F76" s="402"/>
      <c r="G76" s="403"/>
      <c r="H76" s="403"/>
      <c r="I76" s="406"/>
      <c r="J76" s="417"/>
      <c r="K76" s="406"/>
    </row>
    <row r="77" spans="1:11" ht="25.5" x14ac:dyDescent="0.25">
      <c r="A77" s="456">
        <v>70</v>
      </c>
      <c r="B77" s="415" t="s">
        <v>178</v>
      </c>
      <c r="C77" s="429" t="s">
        <v>179</v>
      </c>
      <c r="D77" s="402"/>
      <c r="E77" s="406"/>
      <c r="F77" s="402"/>
      <c r="G77" s="403"/>
      <c r="H77" s="403"/>
      <c r="I77" s="406"/>
      <c r="J77" s="417"/>
      <c r="K77" s="406"/>
    </row>
    <row r="78" spans="1:11" ht="25.5" x14ac:dyDescent="0.25">
      <c r="A78" s="456">
        <v>71</v>
      </c>
      <c r="B78" s="415" t="s">
        <v>180</v>
      </c>
      <c r="C78" s="429" t="s">
        <v>181</v>
      </c>
      <c r="D78" s="402"/>
      <c r="E78" s="406"/>
      <c r="F78" s="402"/>
      <c r="G78" s="403"/>
      <c r="H78" s="403"/>
      <c r="I78" s="406"/>
      <c r="J78" s="417"/>
      <c r="K78" s="406"/>
    </row>
    <row r="79" spans="1:11" ht="14.25" customHeight="1" x14ac:dyDescent="0.25">
      <c r="A79" s="456">
        <v>72</v>
      </c>
      <c r="B79" s="454" t="s">
        <v>182</v>
      </c>
      <c r="C79" s="429" t="s">
        <v>183</v>
      </c>
      <c r="D79" s="402"/>
      <c r="E79" s="406"/>
      <c r="F79" s="402"/>
      <c r="G79" s="403"/>
      <c r="H79" s="403"/>
      <c r="I79" s="406"/>
      <c r="J79" s="417"/>
      <c r="K79" s="406"/>
    </row>
    <row r="80" spans="1:11" x14ac:dyDescent="0.25">
      <c r="A80" s="456">
        <v>73</v>
      </c>
      <c r="B80" s="415" t="s">
        <v>184</v>
      </c>
      <c r="C80" s="429" t="s">
        <v>185</v>
      </c>
      <c r="D80" s="402"/>
      <c r="E80" s="406"/>
      <c r="F80" s="402"/>
      <c r="G80" s="403"/>
      <c r="H80" s="403"/>
      <c r="I80" s="406"/>
      <c r="J80" s="417"/>
      <c r="K80" s="406"/>
    </row>
    <row r="81" spans="1:11" x14ac:dyDescent="0.25">
      <c r="A81" s="456">
        <v>74</v>
      </c>
      <c r="B81" s="454" t="s">
        <v>186</v>
      </c>
      <c r="C81" s="429" t="s">
        <v>187</v>
      </c>
      <c r="D81" s="402"/>
      <c r="E81" s="406"/>
      <c r="F81" s="402"/>
      <c r="G81" s="403"/>
      <c r="H81" s="403"/>
      <c r="I81" s="406"/>
      <c r="J81" s="417"/>
      <c r="K81" s="406"/>
    </row>
    <row r="82" spans="1:11" x14ac:dyDescent="0.25">
      <c r="A82" s="456">
        <v>75</v>
      </c>
      <c r="B82" s="415" t="s">
        <v>188</v>
      </c>
      <c r="C82" s="429" t="s">
        <v>459</v>
      </c>
      <c r="D82" s="402"/>
      <c r="E82" s="406"/>
      <c r="F82" s="402"/>
      <c r="G82" s="403"/>
      <c r="H82" s="403"/>
      <c r="I82" s="406"/>
      <c r="J82" s="417"/>
      <c r="K82" s="406"/>
    </row>
    <row r="83" spans="1:11" x14ac:dyDescent="0.25">
      <c r="A83" s="456">
        <v>76</v>
      </c>
      <c r="B83" s="415" t="s">
        <v>190</v>
      </c>
      <c r="C83" s="429" t="s">
        <v>191</v>
      </c>
      <c r="D83" s="402"/>
      <c r="E83" s="406"/>
      <c r="F83" s="402"/>
      <c r="G83" s="403"/>
      <c r="H83" s="403"/>
      <c r="I83" s="406"/>
      <c r="J83" s="417"/>
      <c r="K83" s="406"/>
    </row>
    <row r="84" spans="1:11" x14ac:dyDescent="0.25">
      <c r="A84" s="456">
        <v>77</v>
      </c>
      <c r="B84" s="415" t="s">
        <v>192</v>
      </c>
      <c r="C84" s="429" t="s">
        <v>193</v>
      </c>
      <c r="D84" s="402"/>
      <c r="E84" s="406"/>
      <c r="F84" s="402"/>
      <c r="G84" s="403"/>
      <c r="H84" s="403"/>
      <c r="I84" s="406"/>
      <c r="J84" s="417"/>
      <c r="K84" s="406"/>
    </row>
    <row r="85" spans="1:11" x14ac:dyDescent="0.25">
      <c r="A85" s="456">
        <v>78</v>
      </c>
      <c r="B85" s="415" t="s">
        <v>194</v>
      </c>
      <c r="C85" s="429" t="s">
        <v>195</v>
      </c>
      <c r="D85" s="402"/>
      <c r="E85" s="406"/>
      <c r="F85" s="402"/>
      <c r="G85" s="403"/>
      <c r="H85" s="403"/>
      <c r="I85" s="406"/>
      <c r="J85" s="417"/>
      <c r="K85" s="406"/>
    </row>
    <row r="86" spans="1:11" x14ac:dyDescent="0.25">
      <c r="A86" s="456">
        <v>79</v>
      </c>
      <c r="B86" s="415" t="s">
        <v>196</v>
      </c>
      <c r="C86" s="429" t="s">
        <v>197</v>
      </c>
      <c r="D86" s="402"/>
      <c r="E86" s="406"/>
      <c r="F86" s="402"/>
      <c r="G86" s="403"/>
      <c r="H86" s="403"/>
      <c r="I86" s="406"/>
      <c r="J86" s="417"/>
      <c r="K86" s="406"/>
    </row>
    <row r="87" spans="1:11" x14ac:dyDescent="0.25">
      <c r="A87" s="456">
        <v>80</v>
      </c>
      <c r="B87" s="418" t="s">
        <v>30</v>
      </c>
      <c r="C87" s="429" t="s">
        <v>198</v>
      </c>
      <c r="D87" s="402"/>
      <c r="E87" s="406"/>
      <c r="F87" s="402"/>
      <c r="G87" s="403"/>
      <c r="H87" s="403"/>
      <c r="I87" s="406"/>
      <c r="J87" s="417"/>
      <c r="K87" s="406"/>
    </row>
    <row r="88" spans="1:11" ht="30.75" customHeight="1" x14ac:dyDescent="0.25">
      <c r="A88" s="1259">
        <v>81</v>
      </c>
      <c r="B88" s="1262" t="s">
        <v>199</v>
      </c>
      <c r="C88" s="432" t="s">
        <v>200</v>
      </c>
      <c r="D88" s="402"/>
      <c r="E88" s="406"/>
      <c r="F88" s="402"/>
      <c r="G88" s="403"/>
      <c r="H88" s="403"/>
      <c r="I88" s="406"/>
      <c r="J88" s="417"/>
      <c r="K88" s="406"/>
    </row>
    <row r="89" spans="1:11" ht="48.75" customHeight="1" x14ac:dyDescent="0.25">
      <c r="A89" s="1260"/>
      <c r="B89" s="1262"/>
      <c r="C89" s="429" t="s">
        <v>201</v>
      </c>
      <c r="D89" s="402"/>
      <c r="E89" s="406"/>
      <c r="F89" s="402"/>
      <c r="G89" s="403"/>
      <c r="H89" s="403"/>
      <c r="I89" s="406"/>
      <c r="J89" s="417"/>
      <c r="K89" s="406"/>
    </row>
    <row r="90" spans="1:11" ht="25.5" x14ac:dyDescent="0.25">
      <c r="A90" s="1260"/>
      <c r="B90" s="1262"/>
      <c r="C90" s="429" t="s">
        <v>202</v>
      </c>
      <c r="D90" s="402"/>
      <c r="E90" s="406"/>
      <c r="F90" s="402"/>
      <c r="G90" s="403"/>
      <c r="H90" s="403"/>
      <c r="I90" s="406"/>
      <c r="J90" s="417"/>
      <c r="K90" s="406"/>
    </row>
    <row r="91" spans="1:11" ht="45" customHeight="1" x14ac:dyDescent="0.25">
      <c r="A91" s="1261"/>
      <c r="B91" s="1262"/>
      <c r="C91" s="433" t="s">
        <v>203</v>
      </c>
      <c r="D91" s="402"/>
      <c r="E91" s="406"/>
      <c r="F91" s="402"/>
      <c r="G91" s="403"/>
      <c r="H91" s="403"/>
      <c r="I91" s="406"/>
      <c r="J91" s="417"/>
      <c r="K91" s="406"/>
    </row>
    <row r="92" spans="1:11" ht="25.5" x14ac:dyDescent="0.25">
      <c r="A92" s="456">
        <v>82</v>
      </c>
      <c r="B92" s="418" t="s">
        <v>204</v>
      </c>
      <c r="C92" s="429" t="s">
        <v>205</v>
      </c>
      <c r="D92" s="402"/>
      <c r="E92" s="406"/>
      <c r="F92" s="402"/>
      <c r="G92" s="403"/>
      <c r="H92" s="403"/>
      <c r="I92" s="406"/>
      <c r="J92" s="417"/>
      <c r="K92" s="406"/>
    </row>
    <row r="93" spans="1:11" x14ac:dyDescent="0.25">
      <c r="A93" s="456">
        <v>83</v>
      </c>
      <c r="B93" s="418" t="s">
        <v>206</v>
      </c>
      <c r="C93" s="429" t="s">
        <v>207</v>
      </c>
      <c r="D93" s="402"/>
      <c r="E93" s="406"/>
      <c r="F93" s="402"/>
      <c r="G93" s="403"/>
      <c r="H93" s="403"/>
      <c r="I93" s="406"/>
      <c r="J93" s="417"/>
      <c r="K93" s="406"/>
    </row>
    <row r="94" spans="1:11" x14ac:dyDescent="0.25">
      <c r="A94" s="456">
        <v>84</v>
      </c>
      <c r="B94" s="454" t="s">
        <v>208</v>
      </c>
      <c r="C94" s="429" t="s">
        <v>209</v>
      </c>
      <c r="D94" s="402"/>
      <c r="E94" s="406"/>
      <c r="F94" s="402"/>
      <c r="G94" s="403"/>
      <c r="H94" s="403"/>
      <c r="I94" s="406"/>
      <c r="J94" s="417"/>
      <c r="K94" s="406"/>
    </row>
    <row r="95" spans="1:11" x14ac:dyDescent="0.25">
      <c r="A95" s="456">
        <v>85</v>
      </c>
      <c r="B95" s="418" t="s">
        <v>210</v>
      </c>
      <c r="C95" s="429" t="s">
        <v>211</v>
      </c>
      <c r="D95" s="402">
        <v>1806</v>
      </c>
      <c r="E95" s="406">
        <v>594</v>
      </c>
      <c r="F95" s="402"/>
      <c r="G95" s="403"/>
      <c r="H95" s="403"/>
      <c r="I95" s="406"/>
      <c r="J95" s="417"/>
      <c r="K95" s="406"/>
    </row>
    <row r="96" spans="1:11" x14ac:dyDescent="0.25">
      <c r="A96" s="456">
        <v>86</v>
      </c>
      <c r="B96" s="454" t="s">
        <v>212</v>
      </c>
      <c r="C96" s="429" t="s">
        <v>213</v>
      </c>
      <c r="D96" s="402">
        <v>1881</v>
      </c>
      <c r="E96" s="406">
        <v>292</v>
      </c>
      <c r="F96" s="402"/>
      <c r="G96" s="403"/>
      <c r="H96" s="403"/>
      <c r="I96" s="406"/>
      <c r="J96" s="417"/>
      <c r="K96" s="406"/>
    </row>
    <row r="97" spans="1:11" x14ac:dyDescent="0.25">
      <c r="A97" s="456">
        <v>87</v>
      </c>
      <c r="B97" s="454" t="s">
        <v>214</v>
      </c>
      <c r="C97" s="429" t="s">
        <v>215</v>
      </c>
      <c r="D97" s="402">
        <v>5319</v>
      </c>
      <c r="E97" s="406">
        <v>1421</v>
      </c>
      <c r="F97" s="402"/>
      <c r="G97" s="403"/>
      <c r="H97" s="403"/>
      <c r="I97" s="406"/>
      <c r="J97" s="417"/>
      <c r="K97" s="406"/>
    </row>
    <row r="98" spans="1:11" x14ac:dyDescent="0.25">
      <c r="A98" s="456">
        <v>88</v>
      </c>
      <c r="B98" s="418" t="s">
        <v>216</v>
      </c>
      <c r="C98" s="429" t="s">
        <v>217</v>
      </c>
      <c r="D98" s="402">
        <v>2355</v>
      </c>
      <c r="E98" s="406">
        <v>573</v>
      </c>
      <c r="F98" s="402"/>
      <c r="G98" s="403"/>
      <c r="H98" s="403"/>
      <c r="I98" s="406"/>
      <c r="J98" s="417"/>
      <c r="K98" s="406"/>
    </row>
    <row r="99" spans="1:11" x14ac:dyDescent="0.25">
      <c r="A99" s="456">
        <v>89</v>
      </c>
      <c r="B99" s="415" t="s">
        <v>218</v>
      </c>
      <c r="C99" s="429" t="s">
        <v>219</v>
      </c>
      <c r="D99" s="402">
        <v>7908</v>
      </c>
      <c r="E99" s="406">
        <v>744</v>
      </c>
      <c r="F99" s="402"/>
      <c r="G99" s="403"/>
      <c r="H99" s="403"/>
      <c r="I99" s="406"/>
      <c r="J99" s="417"/>
      <c r="K99" s="406"/>
    </row>
    <row r="100" spans="1:11" x14ac:dyDescent="0.25">
      <c r="A100" s="456">
        <v>90</v>
      </c>
      <c r="B100" s="415" t="s">
        <v>220</v>
      </c>
      <c r="C100" s="429" t="s">
        <v>221</v>
      </c>
      <c r="D100" s="402">
        <v>5631</v>
      </c>
      <c r="E100" s="406">
        <v>910</v>
      </c>
      <c r="F100" s="402"/>
      <c r="G100" s="403"/>
      <c r="H100" s="403"/>
      <c r="I100" s="406"/>
      <c r="J100" s="417"/>
      <c r="K100" s="406"/>
    </row>
    <row r="101" spans="1:11" x14ac:dyDescent="0.25">
      <c r="A101" s="456">
        <v>91</v>
      </c>
      <c r="B101" s="454" t="s">
        <v>222</v>
      </c>
      <c r="C101" s="429" t="s">
        <v>223</v>
      </c>
      <c r="D101" s="402">
        <v>1769</v>
      </c>
      <c r="E101" s="406">
        <v>535</v>
      </c>
      <c r="F101" s="402">
        <v>135</v>
      </c>
      <c r="G101" s="403">
        <v>1352</v>
      </c>
      <c r="H101" s="403"/>
      <c r="I101" s="406"/>
      <c r="J101" s="417"/>
      <c r="K101" s="406"/>
    </row>
    <row r="102" spans="1:11" x14ac:dyDescent="0.25">
      <c r="A102" s="456">
        <v>92</v>
      </c>
      <c r="B102" s="415" t="s">
        <v>224</v>
      </c>
      <c r="C102" s="429" t="s">
        <v>225</v>
      </c>
      <c r="D102" s="402">
        <v>2875</v>
      </c>
      <c r="E102" s="406">
        <v>547</v>
      </c>
      <c r="F102" s="402"/>
      <c r="G102" s="403"/>
      <c r="H102" s="403"/>
      <c r="I102" s="406"/>
      <c r="J102" s="417"/>
      <c r="K102" s="406"/>
    </row>
    <row r="103" spans="1:11" x14ac:dyDescent="0.25">
      <c r="A103" s="456">
        <v>93</v>
      </c>
      <c r="B103" s="415" t="s">
        <v>226</v>
      </c>
      <c r="C103" s="429" t="s">
        <v>227</v>
      </c>
      <c r="D103" s="402">
        <v>2519</v>
      </c>
      <c r="E103" s="406">
        <v>676</v>
      </c>
      <c r="F103" s="402"/>
      <c r="G103" s="403"/>
      <c r="H103" s="403"/>
      <c r="I103" s="406"/>
      <c r="J103" s="417"/>
      <c r="K103" s="406"/>
    </row>
    <row r="104" spans="1:11" x14ac:dyDescent="0.25">
      <c r="A104" s="456">
        <v>94</v>
      </c>
      <c r="B104" s="418" t="s">
        <v>32</v>
      </c>
      <c r="C104" s="429" t="s">
        <v>33</v>
      </c>
      <c r="D104" s="402">
        <v>3365</v>
      </c>
      <c r="E104" s="406">
        <v>765</v>
      </c>
      <c r="F104" s="402">
        <v>406</v>
      </c>
      <c r="G104" s="403">
        <v>4056</v>
      </c>
      <c r="H104" s="403"/>
      <c r="I104" s="406"/>
      <c r="J104" s="417"/>
      <c r="K104" s="406"/>
    </row>
    <row r="105" spans="1:11" x14ac:dyDescent="0.25">
      <c r="A105" s="456">
        <v>95</v>
      </c>
      <c r="B105" s="454" t="s">
        <v>228</v>
      </c>
      <c r="C105" s="429" t="s">
        <v>229</v>
      </c>
      <c r="D105" s="402">
        <v>2167</v>
      </c>
      <c r="E105" s="406">
        <v>487</v>
      </c>
      <c r="F105" s="402"/>
      <c r="G105" s="403"/>
      <c r="H105" s="403"/>
      <c r="I105" s="406"/>
      <c r="J105" s="417"/>
      <c r="K105" s="406"/>
    </row>
    <row r="106" spans="1:11" x14ac:dyDescent="0.25">
      <c r="A106" s="456">
        <v>96</v>
      </c>
      <c r="B106" s="415" t="s">
        <v>230</v>
      </c>
      <c r="C106" s="429" t="s">
        <v>231</v>
      </c>
      <c r="D106" s="402">
        <v>5501</v>
      </c>
      <c r="E106" s="406">
        <v>1338</v>
      </c>
      <c r="F106" s="402">
        <v>372</v>
      </c>
      <c r="G106" s="403">
        <v>3718</v>
      </c>
      <c r="H106" s="403"/>
      <c r="I106" s="406"/>
      <c r="J106" s="417"/>
      <c r="K106" s="406"/>
    </row>
    <row r="107" spans="1:11" x14ac:dyDescent="0.25">
      <c r="A107" s="456">
        <v>97</v>
      </c>
      <c r="B107" s="415" t="s">
        <v>232</v>
      </c>
      <c r="C107" s="429" t="s">
        <v>233</v>
      </c>
      <c r="D107" s="402"/>
      <c r="E107" s="406"/>
      <c r="F107" s="402"/>
      <c r="G107" s="403"/>
      <c r="H107" s="403"/>
      <c r="I107" s="406"/>
      <c r="J107" s="417"/>
      <c r="K107" s="406"/>
    </row>
    <row r="108" spans="1:11" x14ac:dyDescent="0.25">
      <c r="A108" s="456">
        <v>98</v>
      </c>
      <c r="B108" s="415" t="s">
        <v>234</v>
      </c>
      <c r="C108" s="429" t="s">
        <v>235</v>
      </c>
      <c r="D108" s="402"/>
      <c r="E108" s="406"/>
      <c r="F108" s="402"/>
      <c r="G108" s="403"/>
      <c r="H108" s="403"/>
      <c r="I108" s="406"/>
      <c r="J108" s="417"/>
      <c r="K108" s="406"/>
    </row>
    <row r="109" spans="1:11" x14ac:dyDescent="0.25">
      <c r="A109" s="456">
        <v>99</v>
      </c>
      <c r="B109" s="454" t="s">
        <v>236</v>
      </c>
      <c r="C109" s="429" t="s">
        <v>237</v>
      </c>
      <c r="D109" s="402"/>
      <c r="E109" s="406"/>
      <c r="F109" s="402"/>
      <c r="G109" s="403"/>
      <c r="H109" s="403"/>
      <c r="I109" s="406"/>
      <c r="J109" s="417"/>
      <c r="K109" s="406"/>
    </row>
    <row r="110" spans="1:11" x14ac:dyDescent="0.25">
      <c r="A110" s="456">
        <v>100</v>
      </c>
      <c r="B110" s="454" t="s">
        <v>238</v>
      </c>
      <c r="C110" s="429" t="s">
        <v>239</v>
      </c>
      <c r="D110" s="402"/>
      <c r="E110" s="406"/>
      <c r="F110" s="402"/>
      <c r="G110" s="403"/>
      <c r="H110" s="403"/>
      <c r="I110" s="406"/>
      <c r="J110" s="417"/>
      <c r="K110" s="406"/>
    </row>
    <row r="111" spans="1:11" x14ac:dyDescent="0.25">
      <c r="A111" s="456">
        <v>101</v>
      </c>
      <c r="B111" s="454" t="s">
        <v>240</v>
      </c>
      <c r="C111" s="429" t="s">
        <v>241</v>
      </c>
      <c r="D111" s="402"/>
      <c r="E111" s="406"/>
      <c r="F111" s="402"/>
      <c r="G111" s="403"/>
      <c r="H111" s="403"/>
      <c r="I111" s="406"/>
      <c r="J111" s="417"/>
      <c r="K111" s="406"/>
    </row>
    <row r="112" spans="1:11" x14ac:dyDescent="0.25">
      <c r="A112" s="456">
        <v>102</v>
      </c>
      <c r="B112" s="454" t="s">
        <v>242</v>
      </c>
      <c r="C112" s="429" t="s">
        <v>243</v>
      </c>
      <c r="D112" s="402"/>
      <c r="E112" s="406"/>
      <c r="F112" s="402"/>
      <c r="G112" s="403"/>
      <c r="H112" s="403"/>
      <c r="I112" s="406"/>
      <c r="J112" s="417"/>
      <c r="K112" s="406"/>
    </row>
    <row r="113" spans="1:11" x14ac:dyDescent="0.25">
      <c r="A113" s="456">
        <v>103</v>
      </c>
      <c r="B113" s="454" t="s">
        <v>244</v>
      </c>
      <c r="C113" s="429" t="s">
        <v>245</v>
      </c>
      <c r="D113" s="402"/>
      <c r="E113" s="406"/>
      <c r="F113" s="402"/>
      <c r="G113" s="403"/>
      <c r="H113" s="403"/>
      <c r="I113" s="406"/>
      <c r="J113" s="417"/>
      <c r="K113" s="406"/>
    </row>
    <row r="114" spans="1:11" x14ac:dyDescent="0.25">
      <c r="A114" s="456">
        <v>104</v>
      </c>
      <c r="B114" s="373" t="s">
        <v>246</v>
      </c>
      <c r="C114" s="320" t="s">
        <v>247</v>
      </c>
      <c r="D114" s="402"/>
      <c r="E114" s="406"/>
      <c r="F114" s="402"/>
      <c r="G114" s="403"/>
      <c r="H114" s="403"/>
      <c r="I114" s="406"/>
      <c r="J114" s="417"/>
      <c r="K114" s="406"/>
    </row>
    <row r="115" spans="1:11" x14ac:dyDescent="0.25">
      <c r="A115" s="456">
        <v>105</v>
      </c>
      <c r="B115" s="418" t="s">
        <v>248</v>
      </c>
      <c r="C115" s="429" t="s">
        <v>249</v>
      </c>
      <c r="D115" s="402"/>
      <c r="E115" s="406"/>
      <c r="F115" s="402"/>
      <c r="G115" s="403"/>
      <c r="H115" s="403"/>
      <c r="I115" s="406"/>
      <c r="J115" s="417"/>
      <c r="K115" s="406"/>
    </row>
    <row r="116" spans="1:11" x14ac:dyDescent="0.25">
      <c r="A116" s="456">
        <v>106</v>
      </c>
      <c r="B116" s="454" t="s">
        <v>250</v>
      </c>
      <c r="C116" s="429" t="s">
        <v>251</v>
      </c>
      <c r="D116" s="402"/>
      <c r="E116" s="406"/>
      <c r="F116" s="402"/>
      <c r="G116" s="403"/>
      <c r="H116" s="403"/>
      <c r="I116" s="406"/>
      <c r="J116" s="417"/>
      <c r="K116" s="406"/>
    </row>
    <row r="117" spans="1:11" ht="12.75" customHeight="1" x14ac:dyDescent="0.25">
      <c r="A117" s="456">
        <v>107</v>
      </c>
      <c r="B117" s="415" t="s">
        <v>252</v>
      </c>
      <c r="C117" s="434" t="s">
        <v>253</v>
      </c>
      <c r="D117" s="402"/>
      <c r="E117" s="406"/>
      <c r="F117" s="402"/>
      <c r="G117" s="403"/>
      <c r="H117" s="403"/>
      <c r="I117" s="406"/>
      <c r="J117" s="417"/>
      <c r="K117" s="406"/>
    </row>
    <row r="118" spans="1:11" x14ac:dyDescent="0.25">
      <c r="A118" s="456">
        <v>108</v>
      </c>
      <c r="B118" s="454" t="s">
        <v>254</v>
      </c>
      <c r="C118" s="429" t="s">
        <v>255</v>
      </c>
      <c r="D118" s="402"/>
      <c r="E118" s="406"/>
      <c r="F118" s="402"/>
      <c r="G118" s="403"/>
      <c r="H118" s="403"/>
      <c r="I118" s="406"/>
      <c r="J118" s="417"/>
      <c r="K118" s="406"/>
    </row>
    <row r="119" spans="1:11" x14ac:dyDescent="0.25">
      <c r="A119" s="456">
        <v>109</v>
      </c>
      <c r="B119" s="418" t="s">
        <v>256</v>
      </c>
      <c r="C119" s="429" t="s">
        <v>257</v>
      </c>
      <c r="D119" s="402"/>
      <c r="E119" s="406"/>
      <c r="F119" s="402"/>
      <c r="G119" s="403"/>
      <c r="H119" s="403"/>
      <c r="I119" s="406"/>
      <c r="J119" s="417"/>
      <c r="K119" s="406"/>
    </row>
    <row r="120" spans="1:11" x14ac:dyDescent="0.25">
      <c r="A120" s="456">
        <v>110</v>
      </c>
      <c r="B120" s="415" t="s">
        <v>258</v>
      </c>
      <c r="C120" s="429" t="s">
        <v>259</v>
      </c>
      <c r="D120" s="402"/>
      <c r="E120" s="406"/>
      <c r="F120" s="402"/>
      <c r="G120" s="403"/>
      <c r="H120" s="403"/>
      <c r="I120" s="406"/>
      <c r="J120" s="417"/>
      <c r="K120" s="406"/>
    </row>
    <row r="121" spans="1:11" x14ac:dyDescent="0.25">
      <c r="A121" s="456">
        <v>111</v>
      </c>
      <c r="B121" s="454" t="s">
        <v>542</v>
      </c>
      <c r="C121" s="378" t="s">
        <v>543</v>
      </c>
      <c r="D121" s="402"/>
      <c r="E121" s="406"/>
      <c r="F121" s="402"/>
      <c r="G121" s="403"/>
      <c r="H121" s="403"/>
      <c r="I121" s="406"/>
      <c r="J121" s="417"/>
      <c r="K121" s="406"/>
    </row>
    <row r="122" spans="1:11" x14ac:dyDescent="0.25">
      <c r="A122" s="456">
        <v>112</v>
      </c>
      <c r="B122" s="418" t="s">
        <v>260</v>
      </c>
      <c r="C122" s="429" t="s">
        <v>261</v>
      </c>
      <c r="D122" s="402"/>
      <c r="E122" s="406"/>
      <c r="F122" s="402"/>
      <c r="G122" s="403"/>
      <c r="H122" s="403"/>
      <c r="I122" s="406"/>
      <c r="J122" s="417"/>
      <c r="K122" s="406"/>
    </row>
    <row r="123" spans="1:11" x14ac:dyDescent="0.25">
      <c r="A123" s="456">
        <v>113</v>
      </c>
      <c r="B123" s="454" t="s">
        <v>262</v>
      </c>
      <c r="C123" s="429" t="s">
        <v>263</v>
      </c>
      <c r="D123" s="402"/>
      <c r="E123" s="406"/>
      <c r="F123" s="402"/>
      <c r="G123" s="403"/>
      <c r="H123" s="403"/>
      <c r="I123" s="406"/>
      <c r="J123" s="417"/>
      <c r="K123" s="406"/>
    </row>
    <row r="124" spans="1:11" ht="14.25" customHeight="1" x14ac:dyDescent="0.25">
      <c r="A124" s="456">
        <v>114</v>
      </c>
      <c r="B124" s="454" t="s">
        <v>264</v>
      </c>
      <c r="C124" s="435" t="s">
        <v>265</v>
      </c>
      <c r="D124" s="402"/>
      <c r="E124" s="406"/>
      <c r="F124" s="402"/>
      <c r="G124" s="403"/>
      <c r="H124" s="403"/>
      <c r="I124" s="406"/>
      <c r="J124" s="417"/>
      <c r="K124" s="406"/>
    </row>
    <row r="125" spans="1:11" x14ac:dyDescent="0.25">
      <c r="A125" s="456">
        <v>115</v>
      </c>
      <c r="B125" s="454" t="s">
        <v>266</v>
      </c>
      <c r="C125" s="429" t="s">
        <v>267</v>
      </c>
      <c r="D125" s="402"/>
      <c r="E125" s="406"/>
      <c r="F125" s="402"/>
      <c r="G125" s="403"/>
      <c r="H125" s="403"/>
      <c r="I125" s="406"/>
      <c r="J125" s="417"/>
      <c r="K125" s="406"/>
    </row>
    <row r="126" spans="1:11" x14ac:dyDescent="0.25">
      <c r="A126" s="456">
        <v>116</v>
      </c>
      <c r="B126" s="454" t="s">
        <v>268</v>
      </c>
      <c r="C126" s="429" t="s">
        <v>269</v>
      </c>
      <c r="D126" s="402"/>
      <c r="E126" s="406"/>
      <c r="F126" s="402"/>
      <c r="G126" s="403"/>
      <c r="H126" s="403"/>
      <c r="I126" s="406"/>
      <c r="J126" s="417"/>
      <c r="K126" s="406"/>
    </row>
    <row r="127" spans="1:11" x14ac:dyDescent="0.25">
      <c r="A127" s="456">
        <v>117</v>
      </c>
      <c r="B127" s="454" t="s">
        <v>270</v>
      </c>
      <c r="C127" s="429" t="s">
        <v>271</v>
      </c>
      <c r="D127" s="402"/>
      <c r="E127" s="406"/>
      <c r="F127" s="402"/>
      <c r="G127" s="403"/>
      <c r="H127" s="403"/>
      <c r="I127" s="406"/>
      <c r="J127" s="417"/>
      <c r="K127" s="406"/>
    </row>
    <row r="128" spans="1:11" x14ac:dyDescent="0.25">
      <c r="A128" s="456">
        <v>118</v>
      </c>
      <c r="B128" s="415" t="s">
        <v>272</v>
      </c>
      <c r="C128" s="429" t="s">
        <v>273</v>
      </c>
      <c r="D128" s="402"/>
      <c r="E128" s="406"/>
      <c r="F128" s="402"/>
      <c r="G128" s="403"/>
      <c r="H128" s="403"/>
      <c r="I128" s="406"/>
      <c r="J128" s="417"/>
      <c r="K128" s="406"/>
    </row>
    <row r="129" spans="1:11" x14ac:dyDescent="0.25">
      <c r="A129" s="456">
        <v>119</v>
      </c>
      <c r="B129" s="415" t="s">
        <v>274</v>
      </c>
      <c r="C129" s="429" t="s">
        <v>275</v>
      </c>
      <c r="D129" s="402"/>
      <c r="E129" s="406"/>
      <c r="F129" s="402"/>
      <c r="G129" s="403"/>
      <c r="H129" s="403"/>
      <c r="I129" s="406"/>
      <c r="J129" s="417"/>
      <c r="K129" s="406"/>
    </row>
    <row r="130" spans="1:11" x14ac:dyDescent="0.25">
      <c r="A130" s="456">
        <v>120</v>
      </c>
      <c r="B130" s="415" t="s">
        <v>276</v>
      </c>
      <c r="C130" s="429" t="s">
        <v>277</v>
      </c>
      <c r="D130" s="402"/>
      <c r="E130" s="406"/>
      <c r="F130" s="402"/>
      <c r="G130" s="403"/>
      <c r="H130" s="403"/>
      <c r="I130" s="406"/>
      <c r="J130" s="417"/>
      <c r="K130" s="406"/>
    </row>
    <row r="131" spans="1:11" x14ac:dyDescent="0.25">
      <c r="A131" s="456">
        <v>121</v>
      </c>
      <c r="B131" s="454" t="s">
        <v>278</v>
      </c>
      <c r="C131" s="429" t="s">
        <v>279</v>
      </c>
      <c r="D131" s="402"/>
      <c r="E131" s="406"/>
      <c r="F131" s="402"/>
      <c r="G131" s="403"/>
      <c r="H131" s="403"/>
      <c r="I131" s="406"/>
      <c r="J131" s="417"/>
      <c r="K131" s="406"/>
    </row>
    <row r="132" spans="1:11" x14ac:dyDescent="0.25">
      <c r="A132" s="456">
        <v>122</v>
      </c>
      <c r="B132" s="454" t="s">
        <v>280</v>
      </c>
      <c r="C132" s="429" t="s">
        <v>281</v>
      </c>
      <c r="D132" s="402"/>
      <c r="E132" s="406"/>
      <c r="F132" s="402"/>
      <c r="G132" s="403"/>
      <c r="H132" s="403"/>
      <c r="I132" s="406"/>
      <c r="J132" s="417"/>
      <c r="K132" s="406"/>
    </row>
    <row r="133" spans="1:11" x14ac:dyDescent="0.25">
      <c r="A133" s="456">
        <v>123</v>
      </c>
      <c r="B133" s="454" t="s">
        <v>282</v>
      </c>
      <c r="C133" s="429" t="s">
        <v>768</v>
      </c>
      <c r="D133" s="402"/>
      <c r="E133" s="406"/>
      <c r="F133" s="402"/>
      <c r="G133" s="403"/>
      <c r="H133" s="403"/>
      <c r="I133" s="406"/>
      <c r="J133" s="417"/>
      <c r="K133" s="406"/>
    </row>
    <row r="134" spans="1:11" x14ac:dyDescent="0.25">
      <c r="A134" s="456">
        <v>124</v>
      </c>
      <c r="B134" s="415" t="s">
        <v>283</v>
      </c>
      <c r="C134" s="429" t="s">
        <v>284</v>
      </c>
      <c r="D134" s="402"/>
      <c r="E134" s="406"/>
      <c r="F134" s="402"/>
      <c r="G134" s="403"/>
      <c r="H134" s="403"/>
      <c r="I134" s="406"/>
      <c r="J134" s="417"/>
      <c r="K134" s="406"/>
    </row>
    <row r="135" spans="1:11" ht="27.75" customHeight="1" x14ac:dyDescent="0.25">
      <c r="A135" s="456">
        <v>125</v>
      </c>
      <c r="B135" s="418" t="s">
        <v>285</v>
      </c>
      <c r="C135" s="429" t="s">
        <v>726</v>
      </c>
      <c r="D135" s="402">
        <v>13190</v>
      </c>
      <c r="E135" s="406">
        <v>1022</v>
      </c>
      <c r="F135" s="402"/>
      <c r="G135" s="403"/>
      <c r="H135" s="403"/>
      <c r="I135" s="406"/>
      <c r="J135" s="417"/>
      <c r="K135" s="406"/>
    </row>
    <row r="136" spans="1:11" x14ac:dyDescent="0.25">
      <c r="A136" s="456">
        <v>126</v>
      </c>
      <c r="B136" s="454" t="s">
        <v>286</v>
      </c>
      <c r="C136" s="429" t="s">
        <v>287</v>
      </c>
      <c r="D136" s="402"/>
      <c r="E136" s="406"/>
      <c r="F136" s="402"/>
      <c r="G136" s="403"/>
      <c r="H136" s="403"/>
      <c r="I136" s="406"/>
      <c r="J136" s="417"/>
      <c r="K136" s="406"/>
    </row>
    <row r="137" spans="1:11" x14ac:dyDescent="0.25">
      <c r="A137" s="456">
        <v>127</v>
      </c>
      <c r="B137" s="415" t="s">
        <v>288</v>
      </c>
      <c r="C137" s="429" t="s">
        <v>289</v>
      </c>
      <c r="D137" s="402"/>
      <c r="E137" s="406"/>
      <c r="F137" s="402"/>
      <c r="G137" s="403"/>
      <c r="H137" s="403"/>
      <c r="I137" s="406"/>
      <c r="J137" s="417"/>
      <c r="K137" s="406"/>
    </row>
    <row r="138" spans="1:11" x14ac:dyDescent="0.25">
      <c r="A138" s="456">
        <v>128</v>
      </c>
      <c r="B138" s="454" t="s">
        <v>290</v>
      </c>
      <c r="C138" s="429" t="s">
        <v>291</v>
      </c>
      <c r="D138" s="402"/>
      <c r="E138" s="406"/>
      <c r="F138" s="402"/>
      <c r="G138" s="403"/>
      <c r="H138" s="403"/>
      <c r="I138" s="406"/>
      <c r="J138" s="417"/>
      <c r="K138" s="406"/>
    </row>
    <row r="139" spans="1:11" x14ac:dyDescent="0.25">
      <c r="A139" s="456">
        <v>129</v>
      </c>
      <c r="B139" s="420" t="s">
        <v>292</v>
      </c>
      <c r="C139" s="436" t="s">
        <v>293</v>
      </c>
      <c r="D139" s="402">
        <v>146310</v>
      </c>
      <c r="E139" s="406">
        <v>30487</v>
      </c>
      <c r="F139" s="461">
        <v>7470</v>
      </c>
      <c r="G139" s="416">
        <v>74698</v>
      </c>
      <c r="H139" s="403">
        <v>525</v>
      </c>
      <c r="I139" s="406">
        <v>24674</v>
      </c>
      <c r="J139" s="417">
        <v>594</v>
      </c>
      <c r="K139" s="406">
        <v>7130</v>
      </c>
    </row>
    <row r="140" spans="1:11" x14ac:dyDescent="0.25">
      <c r="A140" s="456">
        <v>130</v>
      </c>
      <c r="B140" s="421" t="s">
        <v>294</v>
      </c>
      <c r="C140" s="436" t="s">
        <v>295</v>
      </c>
      <c r="D140" s="402"/>
      <c r="E140" s="406"/>
      <c r="F140" s="402"/>
      <c r="G140" s="416"/>
      <c r="H140" s="403"/>
      <c r="I140" s="406"/>
      <c r="J140" s="417"/>
      <c r="K140" s="406"/>
    </row>
    <row r="141" spans="1:11" x14ac:dyDescent="0.25">
      <c r="A141" s="456">
        <v>131</v>
      </c>
      <c r="B141" s="420" t="s">
        <v>296</v>
      </c>
      <c r="C141" s="401" t="s">
        <v>460</v>
      </c>
      <c r="D141" s="402"/>
      <c r="E141" s="406"/>
      <c r="F141" s="402"/>
      <c r="G141" s="416"/>
      <c r="H141" s="403"/>
      <c r="I141" s="406"/>
      <c r="J141" s="417"/>
      <c r="K141" s="406"/>
    </row>
    <row r="142" spans="1:11" x14ac:dyDescent="0.25">
      <c r="A142" s="456">
        <v>132</v>
      </c>
      <c r="B142" s="385" t="s">
        <v>298</v>
      </c>
      <c r="C142" s="386" t="s">
        <v>299</v>
      </c>
      <c r="D142" s="402"/>
      <c r="E142" s="406"/>
      <c r="F142" s="402"/>
      <c r="G142" s="416"/>
      <c r="H142" s="403"/>
      <c r="I142" s="406"/>
      <c r="J142" s="417"/>
      <c r="K142" s="406"/>
    </row>
    <row r="143" spans="1:11" x14ac:dyDescent="0.25">
      <c r="A143" s="456">
        <v>133</v>
      </c>
      <c r="B143" s="326" t="s">
        <v>300</v>
      </c>
      <c r="C143" s="386" t="s">
        <v>301</v>
      </c>
      <c r="D143" s="402"/>
      <c r="E143" s="406"/>
      <c r="F143" s="402"/>
      <c r="G143" s="416"/>
      <c r="H143" s="403"/>
      <c r="I143" s="406"/>
      <c r="J143" s="417"/>
      <c r="K143" s="406"/>
    </row>
    <row r="144" spans="1:11" x14ac:dyDescent="0.25">
      <c r="A144" s="456">
        <v>134</v>
      </c>
      <c r="B144" s="326" t="s">
        <v>302</v>
      </c>
      <c r="C144" s="386" t="s">
        <v>303</v>
      </c>
      <c r="D144" s="402"/>
      <c r="E144" s="406"/>
      <c r="F144" s="402"/>
      <c r="G144" s="416"/>
      <c r="H144" s="403"/>
      <c r="I144" s="406"/>
      <c r="J144" s="417"/>
      <c r="K144" s="406"/>
    </row>
    <row r="145" spans="1:11" ht="13.5" thickBot="1" x14ac:dyDescent="0.3">
      <c r="A145" s="323">
        <v>135</v>
      </c>
      <c r="B145" s="388" t="s">
        <v>304</v>
      </c>
      <c r="C145" s="462" t="s">
        <v>305</v>
      </c>
      <c r="D145" s="423"/>
      <c r="E145" s="424"/>
      <c r="F145" s="423"/>
      <c r="G145" s="424"/>
      <c r="H145" s="407"/>
      <c r="I145" s="409"/>
      <c r="J145" s="425"/>
      <c r="K145" s="409"/>
    </row>
    <row r="146" spans="1:11" s="464" customFormat="1" x14ac:dyDescent="0.25">
      <c r="A146" s="463"/>
      <c r="C146" s="465"/>
    </row>
    <row r="147" spans="1:11" s="396" customFormat="1" x14ac:dyDescent="0.25">
      <c r="C147" s="466"/>
    </row>
    <row r="148" spans="1:11" s="396" customFormat="1" x14ac:dyDescent="0.25">
      <c r="C148" s="466"/>
    </row>
    <row r="149" spans="1:11" x14ac:dyDescent="0.25">
      <c r="G149" s="396"/>
      <c r="H149" s="396"/>
      <c r="I149" s="396"/>
      <c r="K149" s="396"/>
    </row>
    <row r="151" spans="1:11" x14ac:dyDescent="0.25">
      <c r="G151" s="396"/>
    </row>
    <row r="152" spans="1:11" x14ac:dyDescent="0.25">
      <c r="F152" s="467"/>
      <c r="G152" s="468"/>
    </row>
    <row r="153" spans="1:11" x14ac:dyDescent="0.25">
      <c r="G153" s="396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25" activePane="bottomRight" state="frozen"/>
      <selection pane="topRight" activeCell="D1" sqref="D1"/>
      <selection pane="bottomLeft" activeCell="A8" sqref="A8"/>
      <selection pane="bottomRight" activeCell="M135" sqref="M135"/>
    </sheetView>
  </sheetViews>
  <sheetFormatPr defaultRowHeight="15" x14ac:dyDescent="0.25"/>
  <cols>
    <col min="1" max="1" width="5.5703125" style="107" customWidth="1"/>
    <col min="2" max="2" width="9.140625" style="107"/>
    <col min="3" max="3" width="35.42578125" style="107" customWidth="1"/>
    <col min="4" max="4" width="16.7109375" style="107" customWidth="1"/>
    <col min="5" max="5" width="16.5703125" style="107" customWidth="1"/>
    <col min="6" max="6" width="14.42578125" style="107" customWidth="1"/>
    <col min="7" max="7" width="12.7109375" style="107" customWidth="1"/>
    <col min="8" max="8" width="11.28515625" style="107" customWidth="1"/>
    <col min="9" max="9" width="11.7109375" style="107" customWidth="1"/>
    <col min="10" max="16384" width="9.140625" style="107"/>
  </cols>
  <sheetData>
    <row r="1" spans="1:9" ht="25.5" customHeight="1" x14ac:dyDescent="0.25">
      <c r="A1" s="1224" t="s">
        <v>708</v>
      </c>
      <c r="B1" s="1333"/>
      <c r="C1" s="1333"/>
      <c r="D1" s="1333"/>
      <c r="E1" s="1333"/>
      <c r="F1" s="1333"/>
      <c r="G1" s="1334"/>
      <c r="H1" s="1334"/>
      <c r="I1" s="1334"/>
    </row>
    <row r="2" spans="1:9" ht="15.75" thickBot="1" x14ac:dyDescent="0.3">
      <c r="A2" s="347"/>
      <c r="B2" s="347"/>
      <c r="C2" s="347"/>
      <c r="D2" s="348"/>
      <c r="E2" s="348"/>
      <c r="F2" s="348"/>
      <c r="G2" s="347"/>
      <c r="H2" s="426"/>
      <c r="I2" s="347"/>
    </row>
    <row r="3" spans="1:9" x14ac:dyDescent="0.25">
      <c r="A3" s="1293" t="s">
        <v>0</v>
      </c>
      <c r="B3" s="1296" t="s">
        <v>692</v>
      </c>
      <c r="C3" s="1299" t="s">
        <v>2</v>
      </c>
      <c r="D3" s="1322" t="s">
        <v>693</v>
      </c>
      <c r="E3" s="1323"/>
      <c r="F3" s="1304" t="s">
        <v>694</v>
      </c>
      <c r="G3" s="1337"/>
      <c r="H3" s="1312" t="s">
        <v>695</v>
      </c>
      <c r="I3" s="1337"/>
    </row>
    <row r="4" spans="1:9" x14ac:dyDescent="0.25">
      <c r="A4" s="1294"/>
      <c r="B4" s="1297"/>
      <c r="C4" s="1300"/>
      <c r="D4" s="1335"/>
      <c r="E4" s="1336"/>
      <c r="F4" s="1335"/>
      <c r="G4" s="1338"/>
      <c r="H4" s="1339"/>
      <c r="I4" s="1338"/>
    </row>
    <row r="5" spans="1:9" x14ac:dyDescent="0.25">
      <c r="A5" s="1294"/>
      <c r="B5" s="1297"/>
      <c r="C5" s="1300"/>
      <c r="D5" s="1326" t="s">
        <v>440</v>
      </c>
      <c r="E5" s="1328" t="s">
        <v>696</v>
      </c>
      <c r="F5" s="1342" t="s">
        <v>697</v>
      </c>
      <c r="G5" s="1320" t="s">
        <v>698</v>
      </c>
      <c r="H5" s="1318" t="s">
        <v>699</v>
      </c>
      <c r="I5" s="1320" t="s">
        <v>700</v>
      </c>
    </row>
    <row r="6" spans="1:9" ht="29.25" customHeight="1" thickBot="1" x14ac:dyDescent="0.3">
      <c r="A6" s="1295"/>
      <c r="B6" s="1298"/>
      <c r="C6" s="1301"/>
      <c r="D6" s="1340"/>
      <c r="E6" s="1341"/>
      <c r="F6" s="1343"/>
      <c r="G6" s="1344"/>
      <c r="H6" s="1345"/>
      <c r="I6" s="1344"/>
    </row>
    <row r="7" spans="1:9" x14ac:dyDescent="0.25">
      <c r="A7" s="1290" t="s">
        <v>44</v>
      </c>
      <c r="B7" s="1291"/>
      <c r="C7" s="1292"/>
      <c r="D7" s="427">
        <f t="shared" ref="D7:I7" si="0">SUM(D8:D145)-D92</f>
        <v>50318</v>
      </c>
      <c r="E7" s="428">
        <f t="shared" si="0"/>
        <v>6273</v>
      </c>
      <c r="F7" s="427">
        <f t="shared" si="0"/>
        <v>5377</v>
      </c>
      <c r="G7" s="400">
        <f t="shared" si="0"/>
        <v>166020</v>
      </c>
      <c r="H7" s="414">
        <f t="shared" si="0"/>
        <v>4075</v>
      </c>
      <c r="I7" s="400">
        <f t="shared" si="0"/>
        <v>85560</v>
      </c>
    </row>
    <row r="8" spans="1:9" x14ac:dyDescent="0.25">
      <c r="A8" s="354">
        <v>1</v>
      </c>
      <c r="B8" s="415" t="s">
        <v>54</v>
      </c>
      <c r="C8" s="429" t="s">
        <v>55</v>
      </c>
      <c r="D8" s="375"/>
      <c r="E8" s="430"/>
      <c r="F8" s="364"/>
      <c r="G8" s="360"/>
      <c r="H8" s="417"/>
      <c r="I8" s="360"/>
    </row>
    <row r="9" spans="1:9" x14ac:dyDescent="0.25">
      <c r="A9" s="354">
        <v>2</v>
      </c>
      <c r="B9" s="418" t="s">
        <v>56</v>
      </c>
      <c r="C9" s="429" t="s">
        <v>57</v>
      </c>
      <c r="D9" s="375"/>
      <c r="E9" s="430"/>
      <c r="F9" s="364"/>
      <c r="G9" s="360"/>
      <c r="H9" s="417"/>
      <c r="I9" s="360"/>
    </row>
    <row r="10" spans="1:9" x14ac:dyDescent="0.25">
      <c r="A10" s="354">
        <v>3</v>
      </c>
      <c r="B10" s="404" t="s">
        <v>16</v>
      </c>
      <c r="C10" s="429" t="s">
        <v>17</v>
      </c>
      <c r="D10" s="375">
        <v>1460</v>
      </c>
      <c r="E10" s="430">
        <v>88</v>
      </c>
      <c r="F10" s="364"/>
      <c r="G10" s="360"/>
      <c r="H10" s="417">
        <v>221</v>
      </c>
      <c r="I10" s="360">
        <v>4650</v>
      </c>
    </row>
    <row r="11" spans="1:9" x14ac:dyDescent="0.25">
      <c r="A11" s="354">
        <v>4</v>
      </c>
      <c r="B11" s="415" t="s">
        <v>58</v>
      </c>
      <c r="C11" s="429" t="s">
        <v>59</v>
      </c>
      <c r="D11" s="375"/>
      <c r="E11" s="430"/>
      <c r="F11" s="364"/>
      <c r="G11" s="360"/>
      <c r="H11" s="417"/>
      <c r="I11" s="360"/>
    </row>
    <row r="12" spans="1:9" x14ac:dyDescent="0.25">
      <c r="A12" s="354">
        <v>5</v>
      </c>
      <c r="B12" s="415" t="s">
        <v>60</v>
      </c>
      <c r="C12" s="429" t="s">
        <v>61</v>
      </c>
      <c r="D12" s="375"/>
      <c r="E12" s="430"/>
      <c r="F12" s="364"/>
      <c r="G12" s="360"/>
      <c r="H12" s="417"/>
      <c r="I12" s="360"/>
    </row>
    <row r="13" spans="1:9" x14ac:dyDescent="0.25">
      <c r="A13" s="354">
        <v>6</v>
      </c>
      <c r="B13" s="404" t="s">
        <v>18</v>
      </c>
      <c r="C13" s="429" t="s">
        <v>19</v>
      </c>
      <c r="D13" s="375"/>
      <c r="E13" s="430"/>
      <c r="F13" s="364"/>
      <c r="G13" s="360"/>
      <c r="H13" s="417"/>
      <c r="I13" s="360"/>
    </row>
    <row r="14" spans="1:9" x14ac:dyDescent="0.25">
      <c r="A14" s="354">
        <v>7</v>
      </c>
      <c r="B14" s="415" t="s">
        <v>62</v>
      </c>
      <c r="C14" s="429" t="s">
        <v>63</v>
      </c>
      <c r="D14" s="375"/>
      <c r="E14" s="430"/>
      <c r="F14" s="364"/>
      <c r="G14" s="360"/>
      <c r="H14" s="417"/>
      <c r="I14" s="360"/>
    </row>
    <row r="15" spans="1:9" x14ac:dyDescent="0.25">
      <c r="A15" s="354">
        <v>8</v>
      </c>
      <c r="B15" s="404" t="s">
        <v>64</v>
      </c>
      <c r="C15" s="429" t="s">
        <v>65</v>
      </c>
      <c r="D15" s="375"/>
      <c r="E15" s="430"/>
      <c r="F15" s="364"/>
      <c r="G15" s="360"/>
      <c r="H15" s="417"/>
      <c r="I15" s="360"/>
    </row>
    <row r="16" spans="1:9" x14ac:dyDescent="0.25">
      <c r="A16" s="354">
        <v>9</v>
      </c>
      <c r="B16" s="404" t="s">
        <v>66</v>
      </c>
      <c r="C16" s="429" t="s">
        <v>67</v>
      </c>
      <c r="D16" s="375"/>
      <c r="E16" s="430"/>
      <c r="F16" s="364"/>
      <c r="G16" s="360"/>
      <c r="H16" s="417"/>
      <c r="I16" s="360"/>
    </row>
    <row r="17" spans="1:9" x14ac:dyDescent="0.25">
      <c r="A17" s="354">
        <v>10</v>
      </c>
      <c r="B17" s="404" t="s">
        <v>68</v>
      </c>
      <c r="C17" s="429" t="s">
        <v>69</v>
      </c>
      <c r="D17" s="375">
        <v>1460</v>
      </c>
      <c r="E17" s="430">
        <v>125</v>
      </c>
      <c r="F17" s="364">
        <v>330</v>
      </c>
      <c r="G17" s="360">
        <v>9900</v>
      </c>
      <c r="H17" s="417"/>
      <c r="I17" s="360"/>
    </row>
    <row r="18" spans="1:9" x14ac:dyDescent="0.25">
      <c r="A18" s="354">
        <v>11</v>
      </c>
      <c r="B18" s="404" t="s">
        <v>70</v>
      </c>
      <c r="C18" s="429" t="s">
        <v>71</v>
      </c>
      <c r="D18" s="375"/>
      <c r="E18" s="430"/>
      <c r="F18" s="364"/>
      <c r="G18" s="360"/>
      <c r="H18" s="417"/>
      <c r="I18" s="360"/>
    </row>
    <row r="19" spans="1:9" x14ac:dyDescent="0.25">
      <c r="A19" s="354">
        <v>12</v>
      </c>
      <c r="B19" s="404" t="s">
        <v>72</v>
      </c>
      <c r="C19" s="429" t="s">
        <v>73</v>
      </c>
      <c r="D19" s="375"/>
      <c r="E19" s="430"/>
      <c r="F19" s="364"/>
      <c r="G19" s="360"/>
      <c r="H19" s="417"/>
      <c r="I19" s="360"/>
    </row>
    <row r="20" spans="1:9" x14ac:dyDescent="0.25">
      <c r="A20" s="354">
        <v>13</v>
      </c>
      <c r="B20" s="404" t="s">
        <v>74</v>
      </c>
      <c r="C20" s="429" t="s">
        <v>75</v>
      </c>
      <c r="D20" s="375"/>
      <c r="E20" s="430"/>
      <c r="F20" s="364"/>
      <c r="G20" s="360"/>
      <c r="H20" s="417"/>
      <c r="I20" s="360"/>
    </row>
    <row r="21" spans="1:9" x14ac:dyDescent="0.25">
      <c r="A21" s="354">
        <v>14</v>
      </c>
      <c r="B21" s="404" t="s">
        <v>76</v>
      </c>
      <c r="C21" s="429" t="s">
        <v>77</v>
      </c>
      <c r="D21" s="375"/>
      <c r="E21" s="430"/>
      <c r="F21" s="364"/>
      <c r="G21" s="360"/>
      <c r="H21" s="417"/>
      <c r="I21" s="360"/>
    </row>
    <row r="22" spans="1:9" x14ac:dyDescent="0.25">
      <c r="A22" s="354">
        <v>15</v>
      </c>
      <c r="B22" s="404" t="s">
        <v>78</v>
      </c>
      <c r="C22" s="429" t="s">
        <v>79</v>
      </c>
      <c r="D22" s="375"/>
      <c r="E22" s="430"/>
      <c r="F22" s="364"/>
      <c r="G22" s="360"/>
      <c r="H22" s="417"/>
      <c r="I22" s="360"/>
    </row>
    <row r="23" spans="1:9" x14ac:dyDescent="0.25">
      <c r="A23" s="354">
        <v>16</v>
      </c>
      <c r="B23" s="404" t="s">
        <v>80</v>
      </c>
      <c r="C23" s="429" t="s">
        <v>81</v>
      </c>
      <c r="D23" s="375"/>
      <c r="E23" s="430"/>
      <c r="F23" s="364"/>
      <c r="G23" s="360"/>
      <c r="H23" s="417"/>
      <c r="I23" s="360"/>
    </row>
    <row r="24" spans="1:9" x14ac:dyDescent="0.25">
      <c r="A24" s="354">
        <v>17</v>
      </c>
      <c r="B24" s="404" t="s">
        <v>20</v>
      </c>
      <c r="C24" s="429" t="s">
        <v>21</v>
      </c>
      <c r="D24" s="375">
        <v>3735</v>
      </c>
      <c r="E24" s="430">
        <v>447</v>
      </c>
      <c r="F24" s="364"/>
      <c r="G24" s="360"/>
      <c r="H24" s="417"/>
      <c r="I24" s="360"/>
    </row>
    <row r="25" spans="1:9" x14ac:dyDescent="0.25">
      <c r="A25" s="354">
        <v>18</v>
      </c>
      <c r="B25" s="415" t="s">
        <v>82</v>
      </c>
      <c r="C25" s="429" t="s">
        <v>83</v>
      </c>
      <c r="D25" s="375"/>
      <c r="E25" s="430"/>
      <c r="F25" s="364"/>
      <c r="G25" s="360"/>
      <c r="H25" s="417"/>
      <c r="I25" s="360"/>
    </row>
    <row r="26" spans="1:9" x14ac:dyDescent="0.25">
      <c r="A26" s="354">
        <v>19</v>
      </c>
      <c r="B26" s="415" t="s">
        <v>84</v>
      </c>
      <c r="C26" s="429" t="s">
        <v>85</v>
      </c>
      <c r="D26" s="375"/>
      <c r="E26" s="430"/>
      <c r="F26" s="364"/>
      <c r="G26" s="360"/>
      <c r="H26" s="417"/>
      <c r="I26" s="360"/>
    </row>
    <row r="27" spans="1:9" x14ac:dyDescent="0.25">
      <c r="A27" s="354">
        <v>20</v>
      </c>
      <c r="B27" s="415" t="s">
        <v>86</v>
      </c>
      <c r="C27" s="429" t="s">
        <v>87</v>
      </c>
      <c r="D27" s="375">
        <v>1297</v>
      </c>
      <c r="E27" s="430">
        <v>125</v>
      </c>
      <c r="F27" s="364">
        <v>330</v>
      </c>
      <c r="G27" s="360">
        <v>9900</v>
      </c>
      <c r="H27" s="417"/>
      <c r="I27" s="360"/>
    </row>
    <row r="28" spans="1:9" x14ac:dyDescent="0.25">
      <c r="A28" s="354">
        <v>21</v>
      </c>
      <c r="B28" s="415" t="s">
        <v>22</v>
      </c>
      <c r="C28" s="429" t="s">
        <v>23</v>
      </c>
      <c r="D28" s="375">
        <v>1459</v>
      </c>
      <c r="E28" s="430">
        <v>88</v>
      </c>
      <c r="F28" s="364">
        <v>330</v>
      </c>
      <c r="G28" s="360">
        <v>9900</v>
      </c>
      <c r="H28" s="417"/>
      <c r="I28" s="360"/>
    </row>
    <row r="29" spans="1:9" x14ac:dyDescent="0.25">
      <c r="A29" s="367">
        <v>22</v>
      </c>
      <c r="B29" s="404" t="s">
        <v>24</v>
      </c>
      <c r="C29" s="429" t="s">
        <v>25</v>
      </c>
      <c r="D29" s="375"/>
      <c r="E29" s="430"/>
      <c r="F29" s="431"/>
      <c r="G29" s="360"/>
      <c r="H29" s="417"/>
      <c r="I29" s="360"/>
    </row>
    <row r="30" spans="1:9" x14ac:dyDescent="0.25">
      <c r="A30" s="354">
        <v>23</v>
      </c>
      <c r="B30" s="404" t="s">
        <v>88</v>
      </c>
      <c r="C30" s="429" t="s">
        <v>89</v>
      </c>
      <c r="D30" s="375"/>
      <c r="E30" s="430"/>
      <c r="F30" s="364"/>
      <c r="G30" s="360"/>
      <c r="H30" s="417"/>
      <c r="I30" s="360"/>
    </row>
    <row r="31" spans="1:9" ht="25.5" x14ac:dyDescent="0.25">
      <c r="A31" s="354">
        <v>24</v>
      </c>
      <c r="B31" s="404" t="s">
        <v>90</v>
      </c>
      <c r="C31" s="429" t="s">
        <v>91</v>
      </c>
      <c r="D31" s="375"/>
      <c r="E31" s="430"/>
      <c r="F31" s="364"/>
      <c r="G31" s="360"/>
      <c r="H31" s="417"/>
      <c r="I31" s="360"/>
    </row>
    <row r="32" spans="1:9" x14ac:dyDescent="0.25">
      <c r="A32" s="354">
        <v>25</v>
      </c>
      <c r="B32" s="415" t="s">
        <v>92</v>
      </c>
      <c r="C32" s="429" t="s">
        <v>93</v>
      </c>
      <c r="D32" s="375">
        <v>1459</v>
      </c>
      <c r="E32" s="430">
        <v>125</v>
      </c>
      <c r="F32" s="364">
        <v>495</v>
      </c>
      <c r="G32" s="360">
        <v>14850</v>
      </c>
      <c r="H32" s="417">
        <v>221</v>
      </c>
      <c r="I32" s="360">
        <v>4650</v>
      </c>
    </row>
    <row r="33" spans="1:9" x14ac:dyDescent="0.25">
      <c r="A33" s="354">
        <v>26</v>
      </c>
      <c r="B33" s="404" t="s">
        <v>94</v>
      </c>
      <c r="C33" s="429" t="s">
        <v>95</v>
      </c>
      <c r="D33" s="375"/>
      <c r="E33" s="430"/>
      <c r="F33" s="364"/>
      <c r="G33" s="360"/>
      <c r="H33" s="417"/>
      <c r="I33" s="360"/>
    </row>
    <row r="34" spans="1:9" x14ac:dyDescent="0.25">
      <c r="A34" s="354">
        <v>27</v>
      </c>
      <c r="B34" s="418" t="s">
        <v>96</v>
      </c>
      <c r="C34" s="429" t="s">
        <v>97</v>
      </c>
      <c r="D34" s="375"/>
      <c r="E34" s="430"/>
      <c r="F34" s="364"/>
      <c r="G34" s="360"/>
      <c r="H34" s="417"/>
      <c r="I34" s="360"/>
    </row>
    <row r="35" spans="1:9" x14ac:dyDescent="0.25">
      <c r="A35" s="328">
        <v>28</v>
      </c>
      <c r="B35" s="418" t="s">
        <v>26</v>
      </c>
      <c r="C35" s="429" t="s">
        <v>27</v>
      </c>
      <c r="D35" s="375">
        <v>1485</v>
      </c>
      <c r="E35" s="430">
        <v>125</v>
      </c>
      <c r="F35" s="364">
        <v>165</v>
      </c>
      <c r="G35" s="360">
        <v>4950</v>
      </c>
      <c r="H35" s="417">
        <v>221</v>
      </c>
      <c r="I35" s="360">
        <v>4650</v>
      </c>
    </row>
    <row r="36" spans="1:9" x14ac:dyDescent="0.25">
      <c r="A36" s="328">
        <v>29</v>
      </c>
      <c r="B36" s="415" t="s">
        <v>98</v>
      </c>
      <c r="C36" s="429" t="s">
        <v>99</v>
      </c>
      <c r="D36" s="375"/>
      <c r="E36" s="430"/>
      <c r="F36" s="364"/>
      <c r="G36" s="360"/>
      <c r="H36" s="417"/>
      <c r="I36" s="360"/>
    </row>
    <row r="37" spans="1:9" x14ac:dyDescent="0.25">
      <c r="A37" s="328">
        <v>30</v>
      </c>
      <c r="B37" s="418" t="s">
        <v>100</v>
      </c>
      <c r="C37" s="429" t="s">
        <v>101</v>
      </c>
      <c r="D37" s="375"/>
      <c r="E37" s="430"/>
      <c r="F37" s="364"/>
      <c r="G37" s="360"/>
      <c r="H37" s="417"/>
      <c r="I37" s="360"/>
    </row>
    <row r="38" spans="1:9" x14ac:dyDescent="0.25">
      <c r="A38" s="328">
        <v>31</v>
      </c>
      <c r="B38" s="404" t="s">
        <v>102</v>
      </c>
      <c r="C38" s="429" t="s">
        <v>103</v>
      </c>
      <c r="D38" s="375"/>
      <c r="E38" s="430"/>
      <c r="F38" s="364"/>
      <c r="G38" s="360"/>
      <c r="H38" s="417"/>
      <c r="I38" s="360"/>
    </row>
    <row r="39" spans="1:9" x14ac:dyDescent="0.25">
      <c r="A39" s="328">
        <v>32</v>
      </c>
      <c r="B39" s="418" t="s">
        <v>104</v>
      </c>
      <c r="C39" s="429" t="s">
        <v>105</v>
      </c>
      <c r="D39" s="375"/>
      <c r="E39" s="430"/>
      <c r="F39" s="364"/>
      <c r="G39" s="360"/>
      <c r="H39" s="417"/>
      <c r="I39" s="360"/>
    </row>
    <row r="40" spans="1:9" x14ac:dyDescent="0.25">
      <c r="A40" s="328">
        <v>33</v>
      </c>
      <c r="B40" s="415" t="s">
        <v>106</v>
      </c>
      <c r="C40" s="429" t="s">
        <v>107</v>
      </c>
      <c r="D40" s="375">
        <v>1460</v>
      </c>
      <c r="E40" s="430">
        <v>125</v>
      </c>
      <c r="F40" s="364">
        <v>363</v>
      </c>
      <c r="G40" s="360">
        <v>10890</v>
      </c>
      <c r="H40" s="417"/>
      <c r="I40" s="360"/>
    </row>
    <row r="41" spans="1:9" x14ac:dyDescent="0.25">
      <c r="A41" s="328">
        <v>34</v>
      </c>
      <c r="B41" s="368" t="s">
        <v>108</v>
      </c>
      <c r="C41" s="320" t="s">
        <v>109</v>
      </c>
      <c r="D41" s="375">
        <v>1459</v>
      </c>
      <c r="E41" s="430">
        <v>88</v>
      </c>
      <c r="F41" s="364"/>
      <c r="G41" s="360"/>
      <c r="H41" s="417">
        <v>148</v>
      </c>
      <c r="I41" s="360">
        <v>3100</v>
      </c>
    </row>
    <row r="42" spans="1:9" x14ac:dyDescent="0.25">
      <c r="A42" s="328">
        <v>35</v>
      </c>
      <c r="B42" s="415" t="s">
        <v>110</v>
      </c>
      <c r="C42" s="429" t="s">
        <v>111</v>
      </c>
      <c r="D42" s="375"/>
      <c r="E42" s="430"/>
      <c r="F42" s="364"/>
      <c r="G42" s="360"/>
      <c r="H42" s="417"/>
      <c r="I42" s="360"/>
    </row>
    <row r="43" spans="1:9" x14ac:dyDescent="0.25">
      <c r="A43" s="328">
        <v>36</v>
      </c>
      <c r="B43" s="415" t="s">
        <v>112</v>
      </c>
      <c r="C43" s="429" t="s">
        <v>113</v>
      </c>
      <c r="D43" s="375"/>
      <c r="E43" s="430"/>
      <c r="F43" s="364"/>
      <c r="G43" s="360"/>
      <c r="H43" s="417"/>
      <c r="I43" s="360"/>
    </row>
    <row r="44" spans="1:9" x14ac:dyDescent="0.25">
      <c r="A44" s="328">
        <v>37</v>
      </c>
      <c r="B44" s="404" t="s">
        <v>114</v>
      </c>
      <c r="C44" s="429" t="s">
        <v>115</v>
      </c>
      <c r="D44" s="375"/>
      <c r="E44" s="430"/>
      <c r="F44" s="364"/>
      <c r="G44" s="360"/>
      <c r="H44" s="417"/>
      <c r="I44" s="360"/>
    </row>
    <row r="45" spans="1:9" x14ac:dyDescent="0.25">
      <c r="A45" s="328">
        <v>38</v>
      </c>
      <c r="B45" s="418" t="s">
        <v>116</v>
      </c>
      <c r="C45" s="429" t="s">
        <v>117</v>
      </c>
      <c r="D45" s="375"/>
      <c r="E45" s="430"/>
      <c r="F45" s="364"/>
      <c r="G45" s="360"/>
      <c r="H45" s="417"/>
      <c r="I45" s="360"/>
    </row>
    <row r="46" spans="1:9" x14ac:dyDescent="0.25">
      <c r="A46" s="328">
        <v>39</v>
      </c>
      <c r="B46" s="404" t="s">
        <v>28</v>
      </c>
      <c r="C46" s="429" t="s">
        <v>29</v>
      </c>
      <c r="D46" s="375"/>
      <c r="E46" s="430"/>
      <c r="F46" s="364"/>
      <c r="G46" s="360"/>
      <c r="H46" s="417"/>
      <c r="I46" s="360"/>
    </row>
    <row r="47" spans="1:9" x14ac:dyDescent="0.25">
      <c r="A47" s="328">
        <v>40</v>
      </c>
      <c r="B47" s="415" t="s">
        <v>118</v>
      </c>
      <c r="C47" s="429" t="s">
        <v>119</v>
      </c>
      <c r="D47" s="375">
        <v>1279</v>
      </c>
      <c r="E47" s="430">
        <v>88</v>
      </c>
      <c r="F47" s="364"/>
      <c r="G47" s="360"/>
      <c r="H47" s="417">
        <v>148</v>
      </c>
      <c r="I47" s="360">
        <v>3100</v>
      </c>
    </row>
    <row r="48" spans="1:9" x14ac:dyDescent="0.25">
      <c r="A48" s="328">
        <v>41</v>
      </c>
      <c r="B48" s="415" t="s">
        <v>120</v>
      </c>
      <c r="C48" s="429" t="s">
        <v>121</v>
      </c>
      <c r="D48" s="375"/>
      <c r="E48" s="430"/>
      <c r="F48" s="364"/>
      <c r="G48" s="360"/>
      <c r="H48" s="417"/>
      <c r="I48" s="360"/>
    </row>
    <row r="49" spans="1:9" x14ac:dyDescent="0.25">
      <c r="A49" s="328">
        <v>42</v>
      </c>
      <c r="B49" s="404" t="s">
        <v>122</v>
      </c>
      <c r="C49" s="429" t="s">
        <v>123</v>
      </c>
      <c r="D49" s="375"/>
      <c r="E49" s="430"/>
      <c r="F49" s="364"/>
      <c r="G49" s="360"/>
      <c r="H49" s="417"/>
      <c r="I49" s="360"/>
    </row>
    <row r="50" spans="1:9" x14ac:dyDescent="0.25">
      <c r="A50" s="328">
        <v>43</v>
      </c>
      <c r="B50" s="418" t="s">
        <v>124</v>
      </c>
      <c r="C50" s="429" t="s">
        <v>125</v>
      </c>
      <c r="D50" s="375"/>
      <c r="E50" s="430"/>
      <c r="F50" s="431"/>
      <c r="G50" s="360"/>
      <c r="H50" s="417"/>
      <c r="I50" s="360"/>
    </row>
    <row r="51" spans="1:9" x14ac:dyDescent="0.25">
      <c r="A51" s="328">
        <v>87</v>
      </c>
      <c r="B51" s="404" t="s">
        <v>126</v>
      </c>
      <c r="C51" s="429" t="s">
        <v>127</v>
      </c>
      <c r="D51" s="375">
        <v>1460</v>
      </c>
      <c r="E51" s="430">
        <v>125</v>
      </c>
      <c r="F51" s="364">
        <v>363</v>
      </c>
      <c r="G51" s="360">
        <v>10890</v>
      </c>
      <c r="H51" s="417"/>
      <c r="I51" s="360"/>
    </row>
    <row r="52" spans="1:9" x14ac:dyDescent="0.25">
      <c r="A52" s="328">
        <v>44</v>
      </c>
      <c r="B52" s="418" t="s">
        <v>128</v>
      </c>
      <c r="C52" s="429" t="s">
        <v>129</v>
      </c>
      <c r="D52" s="375"/>
      <c r="E52" s="430"/>
      <c r="F52" s="364"/>
      <c r="G52" s="360"/>
      <c r="H52" s="417"/>
      <c r="I52" s="360"/>
    </row>
    <row r="53" spans="1:9" x14ac:dyDescent="0.25">
      <c r="A53" s="328">
        <v>45</v>
      </c>
      <c r="B53" s="404" t="s">
        <v>130</v>
      </c>
      <c r="C53" s="429" t="s">
        <v>131</v>
      </c>
      <c r="D53" s="375"/>
      <c r="E53" s="430"/>
      <c r="F53" s="364"/>
      <c r="G53" s="360"/>
      <c r="H53" s="417"/>
      <c r="I53" s="360"/>
    </row>
    <row r="54" spans="1:9" x14ac:dyDescent="0.25">
      <c r="A54" s="328">
        <v>46</v>
      </c>
      <c r="B54" s="418" t="s">
        <v>132</v>
      </c>
      <c r="C54" s="429" t="s">
        <v>133</v>
      </c>
      <c r="D54" s="375"/>
      <c r="E54" s="430"/>
      <c r="F54" s="364"/>
      <c r="G54" s="360"/>
      <c r="H54" s="417"/>
      <c r="I54" s="360"/>
    </row>
    <row r="55" spans="1:9" x14ac:dyDescent="0.25">
      <c r="A55" s="328">
        <v>47</v>
      </c>
      <c r="B55" s="404" t="s">
        <v>134</v>
      </c>
      <c r="C55" s="429" t="s">
        <v>135</v>
      </c>
      <c r="D55" s="375"/>
      <c r="E55" s="430"/>
      <c r="F55" s="364"/>
      <c r="G55" s="360"/>
      <c r="H55" s="417"/>
      <c r="I55" s="360"/>
    </row>
    <row r="56" spans="1:9" x14ac:dyDescent="0.25">
      <c r="A56" s="328">
        <v>48</v>
      </c>
      <c r="B56" s="404" t="s">
        <v>136</v>
      </c>
      <c r="C56" s="429" t="s">
        <v>137</v>
      </c>
      <c r="D56" s="375"/>
      <c r="E56" s="430"/>
      <c r="F56" s="364"/>
      <c r="G56" s="360"/>
      <c r="H56" s="417"/>
      <c r="I56" s="360"/>
    </row>
    <row r="57" spans="1:9" x14ac:dyDescent="0.25">
      <c r="A57" s="328">
        <v>49</v>
      </c>
      <c r="B57" s="404" t="s">
        <v>138</v>
      </c>
      <c r="C57" s="429" t="s">
        <v>139</v>
      </c>
      <c r="D57" s="375">
        <v>1459</v>
      </c>
      <c r="E57" s="430">
        <v>88</v>
      </c>
      <c r="F57" s="364"/>
      <c r="G57" s="360"/>
      <c r="H57" s="417">
        <v>148</v>
      </c>
      <c r="I57" s="360">
        <v>3100</v>
      </c>
    </row>
    <row r="58" spans="1:9" x14ac:dyDescent="0.25">
      <c r="A58" s="328">
        <v>95</v>
      </c>
      <c r="B58" s="404" t="s">
        <v>140</v>
      </c>
      <c r="C58" s="429" t="s">
        <v>141</v>
      </c>
      <c r="D58" s="375"/>
      <c r="E58" s="430"/>
      <c r="F58" s="364"/>
      <c r="G58" s="360"/>
      <c r="H58" s="417"/>
      <c r="I58" s="360"/>
    </row>
    <row r="59" spans="1:9" x14ac:dyDescent="0.25">
      <c r="A59" s="328">
        <v>50</v>
      </c>
      <c r="B59" s="418" t="s">
        <v>142</v>
      </c>
      <c r="C59" s="429" t="s">
        <v>143</v>
      </c>
      <c r="D59" s="375">
        <v>669</v>
      </c>
      <c r="E59" s="430">
        <v>0</v>
      </c>
      <c r="F59" s="364"/>
      <c r="G59" s="360"/>
      <c r="H59" s="417">
        <v>148</v>
      </c>
      <c r="I59" s="360">
        <v>3100</v>
      </c>
    </row>
    <row r="60" spans="1:9" x14ac:dyDescent="0.25">
      <c r="A60" s="328">
        <v>97</v>
      </c>
      <c r="B60" s="404" t="s">
        <v>144</v>
      </c>
      <c r="C60" s="429" t="s">
        <v>145</v>
      </c>
      <c r="D60" s="375"/>
      <c r="E60" s="430"/>
      <c r="F60" s="364"/>
      <c r="G60" s="360"/>
      <c r="H60" s="417"/>
      <c r="I60" s="360"/>
    </row>
    <row r="61" spans="1:9" x14ac:dyDescent="0.25">
      <c r="A61" s="328">
        <v>51</v>
      </c>
      <c r="B61" s="404" t="s">
        <v>146</v>
      </c>
      <c r="C61" s="429" t="s">
        <v>147</v>
      </c>
      <c r="D61" s="375"/>
      <c r="E61" s="430"/>
      <c r="F61" s="364"/>
      <c r="G61" s="360"/>
      <c r="H61" s="417"/>
      <c r="I61" s="360"/>
    </row>
    <row r="62" spans="1:9" x14ac:dyDescent="0.25">
      <c r="A62" s="328">
        <v>52</v>
      </c>
      <c r="B62" s="404" t="s">
        <v>148</v>
      </c>
      <c r="C62" s="429" t="s">
        <v>149</v>
      </c>
      <c r="D62" s="375"/>
      <c r="E62" s="430"/>
      <c r="F62" s="364"/>
      <c r="G62" s="360"/>
      <c r="H62" s="417"/>
      <c r="I62" s="360"/>
    </row>
    <row r="63" spans="1:9" ht="16.5" customHeight="1" x14ac:dyDescent="0.25">
      <c r="A63" s="328">
        <v>53</v>
      </c>
      <c r="B63" s="418" t="s">
        <v>150</v>
      </c>
      <c r="C63" s="429" t="s">
        <v>151</v>
      </c>
      <c r="D63" s="375"/>
      <c r="E63" s="430"/>
      <c r="F63" s="364"/>
      <c r="G63" s="360"/>
      <c r="H63" s="417"/>
      <c r="I63" s="360"/>
    </row>
    <row r="64" spans="1:9" ht="16.5" customHeight="1" x14ac:dyDescent="0.25">
      <c r="A64" s="328">
        <v>54</v>
      </c>
      <c r="B64" s="415" t="s">
        <v>152</v>
      </c>
      <c r="C64" s="429" t="s">
        <v>153</v>
      </c>
      <c r="D64" s="375"/>
      <c r="E64" s="430"/>
      <c r="F64" s="364"/>
      <c r="G64" s="360"/>
      <c r="H64" s="417"/>
      <c r="I64" s="360"/>
    </row>
    <row r="65" spans="1:9" ht="16.5" customHeight="1" x14ac:dyDescent="0.25">
      <c r="A65" s="328">
        <v>55</v>
      </c>
      <c r="B65" s="418" t="s">
        <v>154</v>
      </c>
      <c r="C65" s="429" t="s">
        <v>155</v>
      </c>
      <c r="D65" s="375"/>
      <c r="E65" s="430"/>
      <c r="F65" s="364"/>
      <c r="G65" s="360"/>
      <c r="H65" s="417"/>
      <c r="I65" s="360"/>
    </row>
    <row r="66" spans="1:9" x14ac:dyDescent="0.25">
      <c r="A66" s="328">
        <v>56</v>
      </c>
      <c r="B66" s="404" t="s">
        <v>156</v>
      </c>
      <c r="C66" s="429" t="s">
        <v>157</v>
      </c>
      <c r="D66" s="375"/>
      <c r="E66" s="430"/>
      <c r="F66" s="364"/>
      <c r="G66" s="360"/>
      <c r="H66" s="417"/>
      <c r="I66" s="360"/>
    </row>
    <row r="67" spans="1:9" ht="25.5" x14ac:dyDescent="0.25">
      <c r="A67" s="328">
        <v>57</v>
      </c>
      <c r="B67" s="415" t="s">
        <v>158</v>
      </c>
      <c r="C67" s="429" t="s">
        <v>159</v>
      </c>
      <c r="D67" s="375"/>
      <c r="E67" s="430"/>
      <c r="F67" s="364"/>
      <c r="G67" s="360"/>
      <c r="H67" s="417"/>
      <c r="I67" s="360"/>
    </row>
    <row r="68" spans="1:9" ht="25.5" x14ac:dyDescent="0.25">
      <c r="A68" s="328">
        <v>58</v>
      </c>
      <c r="B68" s="415" t="s">
        <v>160</v>
      </c>
      <c r="C68" s="429" t="s">
        <v>161</v>
      </c>
      <c r="D68" s="375"/>
      <c r="E68" s="430"/>
      <c r="F68" s="364"/>
      <c r="G68" s="360"/>
      <c r="H68" s="417"/>
      <c r="I68" s="360"/>
    </row>
    <row r="69" spans="1:9" x14ac:dyDescent="0.25">
      <c r="A69" s="328">
        <v>59</v>
      </c>
      <c r="B69" s="418" t="s">
        <v>162</v>
      </c>
      <c r="C69" s="429" t="s">
        <v>163</v>
      </c>
      <c r="D69" s="375"/>
      <c r="E69" s="430"/>
      <c r="F69" s="364"/>
      <c r="G69" s="360"/>
      <c r="H69" s="417"/>
      <c r="I69" s="360"/>
    </row>
    <row r="70" spans="1:9" x14ac:dyDescent="0.25">
      <c r="A70" s="328">
        <v>60</v>
      </c>
      <c r="B70" s="418" t="s">
        <v>164</v>
      </c>
      <c r="C70" s="429" t="s">
        <v>165</v>
      </c>
      <c r="D70" s="375"/>
      <c r="E70" s="430"/>
      <c r="F70" s="364"/>
      <c r="G70" s="360"/>
      <c r="H70" s="417"/>
      <c r="I70" s="360"/>
    </row>
    <row r="71" spans="1:9" x14ac:dyDescent="0.25">
      <c r="A71" s="328">
        <v>61</v>
      </c>
      <c r="B71" s="418" t="s">
        <v>166</v>
      </c>
      <c r="C71" s="429" t="s">
        <v>167</v>
      </c>
      <c r="D71" s="375"/>
      <c r="E71" s="430"/>
      <c r="F71" s="364"/>
      <c r="G71" s="360"/>
      <c r="H71" s="417"/>
      <c r="I71" s="360"/>
    </row>
    <row r="72" spans="1:9" ht="25.5" x14ac:dyDescent="0.25">
      <c r="A72" s="328">
        <v>62</v>
      </c>
      <c r="B72" s="418" t="s">
        <v>168</v>
      </c>
      <c r="C72" s="429" t="s">
        <v>169</v>
      </c>
      <c r="D72" s="375"/>
      <c r="E72" s="430"/>
      <c r="F72" s="364"/>
      <c r="G72" s="360"/>
      <c r="H72" s="417"/>
      <c r="I72" s="360"/>
    </row>
    <row r="73" spans="1:9" ht="25.5" x14ac:dyDescent="0.25">
      <c r="A73" s="328">
        <v>63</v>
      </c>
      <c r="B73" s="415" t="s">
        <v>170</v>
      </c>
      <c r="C73" s="429" t="s">
        <v>171</v>
      </c>
      <c r="D73" s="375"/>
      <c r="E73" s="430"/>
      <c r="F73" s="364"/>
      <c r="G73" s="360"/>
      <c r="H73" s="417"/>
      <c r="I73" s="360"/>
    </row>
    <row r="74" spans="1:9" ht="25.5" x14ac:dyDescent="0.25">
      <c r="A74" s="328">
        <v>64</v>
      </c>
      <c r="B74" s="418" t="s">
        <v>172</v>
      </c>
      <c r="C74" s="429" t="s">
        <v>173</v>
      </c>
      <c r="D74" s="375"/>
      <c r="E74" s="430"/>
      <c r="F74" s="364"/>
      <c r="G74" s="360"/>
      <c r="H74" s="417"/>
      <c r="I74" s="360"/>
    </row>
    <row r="75" spans="1:9" ht="25.5" x14ac:dyDescent="0.25">
      <c r="A75" s="328">
        <v>65</v>
      </c>
      <c r="B75" s="418" t="s">
        <v>174</v>
      </c>
      <c r="C75" s="429" t="s">
        <v>175</v>
      </c>
      <c r="D75" s="375"/>
      <c r="E75" s="430"/>
      <c r="F75" s="364"/>
      <c r="G75" s="360"/>
      <c r="H75" s="417"/>
      <c r="I75" s="360"/>
    </row>
    <row r="76" spans="1:9" ht="25.5" x14ac:dyDescent="0.25">
      <c r="A76" s="328">
        <v>66</v>
      </c>
      <c r="B76" s="415" t="s">
        <v>176</v>
      </c>
      <c r="C76" s="429" t="s">
        <v>177</v>
      </c>
      <c r="D76" s="375"/>
      <c r="E76" s="430"/>
      <c r="F76" s="364"/>
      <c r="G76" s="360"/>
      <c r="H76" s="417"/>
      <c r="I76" s="360"/>
    </row>
    <row r="77" spans="1:9" ht="25.5" x14ac:dyDescent="0.25">
      <c r="A77" s="328">
        <v>67</v>
      </c>
      <c r="B77" s="415" t="s">
        <v>178</v>
      </c>
      <c r="C77" s="429" t="s">
        <v>179</v>
      </c>
      <c r="D77" s="375"/>
      <c r="E77" s="430"/>
      <c r="F77" s="364"/>
      <c r="G77" s="360"/>
      <c r="H77" s="417"/>
      <c r="I77" s="360"/>
    </row>
    <row r="78" spans="1:9" ht="25.5" x14ac:dyDescent="0.25">
      <c r="A78" s="328">
        <v>68</v>
      </c>
      <c r="B78" s="415" t="s">
        <v>180</v>
      </c>
      <c r="C78" s="429" t="s">
        <v>181</v>
      </c>
      <c r="D78" s="375"/>
      <c r="E78" s="430"/>
      <c r="F78" s="364"/>
      <c r="G78" s="360"/>
      <c r="H78" s="417"/>
      <c r="I78" s="360"/>
    </row>
    <row r="79" spans="1:9" ht="15.75" customHeight="1" x14ac:dyDescent="0.25">
      <c r="A79" s="328">
        <v>69</v>
      </c>
      <c r="B79" s="404" t="s">
        <v>182</v>
      </c>
      <c r="C79" s="429" t="s">
        <v>183</v>
      </c>
      <c r="D79" s="375"/>
      <c r="E79" s="430"/>
      <c r="F79" s="364"/>
      <c r="G79" s="360"/>
      <c r="H79" s="417"/>
      <c r="I79" s="360"/>
    </row>
    <row r="80" spans="1:9" x14ac:dyDescent="0.25">
      <c r="A80" s="328">
        <v>70</v>
      </c>
      <c r="B80" s="415" t="s">
        <v>184</v>
      </c>
      <c r="C80" s="429" t="s">
        <v>185</v>
      </c>
      <c r="D80" s="375"/>
      <c r="E80" s="430"/>
      <c r="F80" s="364"/>
      <c r="G80" s="360"/>
      <c r="H80" s="417"/>
      <c r="I80" s="360"/>
    </row>
    <row r="81" spans="1:9" x14ac:dyDescent="0.25">
      <c r="A81" s="328">
        <v>71</v>
      </c>
      <c r="B81" s="404" t="s">
        <v>186</v>
      </c>
      <c r="C81" s="429" t="s">
        <v>187</v>
      </c>
      <c r="D81" s="375"/>
      <c r="E81" s="430"/>
      <c r="F81" s="364"/>
      <c r="G81" s="360"/>
      <c r="H81" s="417"/>
      <c r="I81" s="360"/>
    </row>
    <row r="82" spans="1:9" x14ac:dyDescent="0.25">
      <c r="A82" s="328">
        <v>72</v>
      </c>
      <c r="B82" s="415" t="s">
        <v>188</v>
      </c>
      <c r="C82" s="429" t="s">
        <v>459</v>
      </c>
      <c r="D82" s="375"/>
      <c r="E82" s="430"/>
      <c r="F82" s="364"/>
      <c r="G82" s="360"/>
      <c r="H82" s="417"/>
      <c r="I82" s="360"/>
    </row>
    <row r="83" spans="1:9" x14ac:dyDescent="0.25">
      <c r="A83" s="328">
        <v>73</v>
      </c>
      <c r="B83" s="415" t="s">
        <v>190</v>
      </c>
      <c r="C83" s="429" t="s">
        <v>191</v>
      </c>
      <c r="D83" s="375"/>
      <c r="E83" s="430"/>
      <c r="F83" s="364"/>
      <c r="G83" s="360"/>
      <c r="H83" s="417"/>
      <c r="I83" s="360"/>
    </row>
    <row r="84" spans="1:9" x14ac:dyDescent="0.25">
      <c r="A84" s="328">
        <v>74</v>
      </c>
      <c r="B84" s="415" t="s">
        <v>192</v>
      </c>
      <c r="C84" s="429" t="s">
        <v>193</v>
      </c>
      <c r="D84" s="375"/>
      <c r="E84" s="430"/>
      <c r="F84" s="364"/>
      <c r="G84" s="360"/>
      <c r="H84" s="417"/>
      <c r="I84" s="360"/>
    </row>
    <row r="85" spans="1:9" x14ac:dyDescent="0.25">
      <c r="A85" s="328">
        <v>75</v>
      </c>
      <c r="B85" s="415" t="s">
        <v>194</v>
      </c>
      <c r="C85" s="429" t="s">
        <v>195</v>
      </c>
      <c r="D85" s="375"/>
      <c r="E85" s="430"/>
      <c r="F85" s="364"/>
      <c r="G85" s="360"/>
      <c r="H85" s="417"/>
      <c r="I85" s="360"/>
    </row>
    <row r="86" spans="1:9" x14ac:dyDescent="0.25">
      <c r="A86" s="328">
        <v>76</v>
      </c>
      <c r="B86" s="415" t="s">
        <v>196</v>
      </c>
      <c r="C86" s="429" t="s">
        <v>197</v>
      </c>
      <c r="D86" s="375"/>
      <c r="E86" s="430"/>
      <c r="F86" s="364"/>
      <c r="G86" s="360"/>
      <c r="H86" s="417"/>
      <c r="I86" s="360"/>
    </row>
    <row r="87" spans="1:9" x14ac:dyDescent="0.25">
      <c r="A87" s="328">
        <v>77</v>
      </c>
      <c r="B87" s="418" t="s">
        <v>30</v>
      </c>
      <c r="C87" s="429" t="s">
        <v>198</v>
      </c>
      <c r="D87" s="375"/>
      <c r="E87" s="430"/>
      <c r="F87" s="364"/>
      <c r="G87" s="360"/>
      <c r="H87" s="417"/>
      <c r="I87" s="360"/>
    </row>
    <row r="88" spans="1:9" ht="25.5" x14ac:dyDescent="0.25">
      <c r="A88" s="1218">
        <v>78</v>
      </c>
      <c r="B88" s="1330" t="s">
        <v>199</v>
      </c>
      <c r="C88" s="432" t="s">
        <v>200</v>
      </c>
      <c r="D88" s="375"/>
      <c r="E88" s="430"/>
      <c r="F88" s="364"/>
      <c r="G88" s="360"/>
      <c r="H88" s="417"/>
      <c r="I88" s="360"/>
    </row>
    <row r="89" spans="1:9" ht="38.25" x14ac:dyDescent="0.25">
      <c r="A89" s="1219"/>
      <c r="B89" s="1331"/>
      <c r="C89" s="429" t="s">
        <v>201</v>
      </c>
      <c r="D89" s="375"/>
      <c r="E89" s="430"/>
      <c r="F89" s="364"/>
      <c r="G89" s="360"/>
      <c r="H89" s="417"/>
      <c r="I89" s="360"/>
    </row>
    <row r="90" spans="1:9" ht="25.5" x14ac:dyDescent="0.25">
      <c r="A90" s="1219"/>
      <c r="B90" s="1331"/>
      <c r="C90" s="429" t="s">
        <v>202</v>
      </c>
      <c r="D90" s="375"/>
      <c r="E90" s="430"/>
      <c r="F90" s="364"/>
      <c r="G90" s="360"/>
      <c r="H90" s="417"/>
      <c r="I90" s="360"/>
    </row>
    <row r="91" spans="1:9" ht="38.25" x14ac:dyDescent="0.25">
      <c r="A91" s="1220"/>
      <c r="B91" s="1332"/>
      <c r="C91" s="433" t="s">
        <v>203</v>
      </c>
      <c r="D91" s="375"/>
      <c r="E91" s="430"/>
      <c r="F91" s="364"/>
      <c r="G91" s="360"/>
      <c r="H91" s="417"/>
      <c r="I91" s="360"/>
    </row>
    <row r="92" spans="1:9" ht="25.5" x14ac:dyDescent="0.25">
      <c r="A92" s="372">
        <v>79</v>
      </c>
      <c r="B92" s="418" t="s">
        <v>204</v>
      </c>
      <c r="C92" s="429" t="s">
        <v>205</v>
      </c>
      <c r="D92" s="375"/>
      <c r="E92" s="430"/>
      <c r="F92" s="364"/>
      <c r="G92" s="360"/>
      <c r="H92" s="417"/>
      <c r="I92" s="360"/>
    </row>
    <row r="93" spans="1:9" x14ac:dyDescent="0.25">
      <c r="A93" s="328">
        <v>80</v>
      </c>
      <c r="B93" s="418" t="s">
        <v>206</v>
      </c>
      <c r="C93" s="429" t="s">
        <v>207</v>
      </c>
      <c r="D93" s="375"/>
      <c r="E93" s="430"/>
      <c r="F93" s="364"/>
      <c r="G93" s="360"/>
      <c r="H93" s="417"/>
      <c r="I93" s="360"/>
    </row>
    <row r="94" spans="1:9" x14ac:dyDescent="0.25">
      <c r="A94" s="328">
        <v>81</v>
      </c>
      <c r="B94" s="404" t="s">
        <v>208</v>
      </c>
      <c r="C94" s="429" t="s">
        <v>209</v>
      </c>
      <c r="D94" s="375"/>
      <c r="E94" s="430"/>
      <c r="F94" s="364"/>
      <c r="G94" s="360"/>
      <c r="H94" s="417"/>
      <c r="I94" s="360"/>
    </row>
    <row r="95" spans="1:9" x14ac:dyDescent="0.25">
      <c r="A95" s="328">
        <v>82</v>
      </c>
      <c r="B95" s="418" t="s">
        <v>210</v>
      </c>
      <c r="C95" s="429" t="s">
        <v>211</v>
      </c>
      <c r="D95" s="375">
        <v>669</v>
      </c>
      <c r="E95" s="430">
        <v>88</v>
      </c>
      <c r="F95" s="364">
        <v>275</v>
      </c>
      <c r="G95" s="360">
        <v>8250</v>
      </c>
      <c r="H95" s="417"/>
      <c r="I95" s="360"/>
    </row>
    <row r="96" spans="1:9" x14ac:dyDescent="0.25">
      <c r="A96" s="328">
        <v>83</v>
      </c>
      <c r="B96" s="404" t="s">
        <v>212</v>
      </c>
      <c r="C96" s="429" t="s">
        <v>213</v>
      </c>
      <c r="D96" s="375">
        <v>1459</v>
      </c>
      <c r="E96" s="430">
        <v>88</v>
      </c>
      <c r="F96" s="364"/>
      <c r="G96" s="360"/>
      <c r="H96" s="417"/>
      <c r="I96" s="360"/>
    </row>
    <row r="97" spans="1:9" x14ac:dyDescent="0.25">
      <c r="A97" s="328">
        <v>84</v>
      </c>
      <c r="B97" s="404" t="s">
        <v>214</v>
      </c>
      <c r="C97" s="429" t="s">
        <v>215</v>
      </c>
      <c r="D97" s="375"/>
      <c r="E97" s="430"/>
      <c r="F97" s="364"/>
      <c r="G97" s="360"/>
      <c r="H97" s="417"/>
      <c r="I97" s="360"/>
    </row>
    <row r="98" spans="1:9" x14ac:dyDescent="0.25">
      <c r="A98" s="328">
        <v>85</v>
      </c>
      <c r="B98" s="418" t="s">
        <v>216</v>
      </c>
      <c r="C98" s="429" t="s">
        <v>217</v>
      </c>
      <c r="D98" s="375"/>
      <c r="E98" s="430"/>
      <c r="F98" s="364"/>
      <c r="G98" s="360"/>
      <c r="H98" s="417"/>
      <c r="I98" s="360"/>
    </row>
    <row r="99" spans="1:9" x14ac:dyDescent="0.25">
      <c r="A99" s="328">
        <v>86</v>
      </c>
      <c r="B99" s="415" t="s">
        <v>218</v>
      </c>
      <c r="C99" s="429" t="s">
        <v>219</v>
      </c>
      <c r="D99" s="375"/>
      <c r="E99" s="430"/>
      <c r="F99" s="364"/>
      <c r="G99" s="360"/>
      <c r="H99" s="417"/>
      <c r="I99" s="360"/>
    </row>
    <row r="100" spans="1:9" x14ac:dyDescent="0.25">
      <c r="A100" s="328">
        <v>88</v>
      </c>
      <c r="B100" s="415" t="s">
        <v>220</v>
      </c>
      <c r="C100" s="429" t="s">
        <v>221</v>
      </c>
      <c r="D100" s="375">
        <v>669</v>
      </c>
      <c r="E100" s="430"/>
      <c r="F100" s="364"/>
      <c r="G100" s="360"/>
      <c r="H100" s="417"/>
      <c r="I100" s="360"/>
    </row>
    <row r="101" spans="1:9" x14ac:dyDescent="0.25">
      <c r="A101" s="328">
        <v>89</v>
      </c>
      <c r="B101" s="404" t="s">
        <v>222</v>
      </c>
      <c r="C101" s="429" t="s">
        <v>223</v>
      </c>
      <c r="D101" s="375">
        <v>1280</v>
      </c>
      <c r="E101" s="430">
        <v>110</v>
      </c>
      <c r="F101" s="364">
        <v>363</v>
      </c>
      <c r="G101" s="360">
        <v>10890</v>
      </c>
      <c r="H101" s="417"/>
      <c r="I101" s="360"/>
    </row>
    <row r="102" spans="1:9" x14ac:dyDescent="0.25">
      <c r="A102" s="328">
        <v>90</v>
      </c>
      <c r="B102" s="415" t="s">
        <v>224</v>
      </c>
      <c r="C102" s="429" t="s">
        <v>225</v>
      </c>
      <c r="D102" s="375"/>
      <c r="E102" s="430"/>
      <c r="F102" s="364"/>
      <c r="G102" s="360"/>
      <c r="H102" s="417"/>
      <c r="I102" s="360"/>
    </row>
    <row r="103" spans="1:9" x14ac:dyDescent="0.25">
      <c r="A103" s="328">
        <v>91</v>
      </c>
      <c r="B103" s="415" t="s">
        <v>226</v>
      </c>
      <c r="C103" s="429" t="s">
        <v>227</v>
      </c>
      <c r="D103" s="375"/>
      <c r="E103" s="430"/>
      <c r="F103" s="364"/>
      <c r="G103" s="360"/>
      <c r="H103" s="417"/>
      <c r="I103" s="360"/>
    </row>
    <row r="104" spans="1:9" x14ac:dyDescent="0.25">
      <c r="A104" s="328">
        <v>92</v>
      </c>
      <c r="B104" s="418" t="s">
        <v>32</v>
      </c>
      <c r="C104" s="429" t="s">
        <v>33</v>
      </c>
      <c r="D104" s="375"/>
      <c r="E104" s="430"/>
      <c r="F104" s="364"/>
      <c r="G104" s="360"/>
      <c r="H104" s="417"/>
      <c r="I104" s="360"/>
    </row>
    <row r="105" spans="1:9" x14ac:dyDescent="0.25">
      <c r="A105" s="328">
        <v>93</v>
      </c>
      <c r="B105" s="404" t="s">
        <v>228</v>
      </c>
      <c r="C105" s="429" t="s">
        <v>229</v>
      </c>
      <c r="D105" s="375"/>
      <c r="E105" s="430"/>
      <c r="F105" s="364"/>
      <c r="G105" s="360"/>
      <c r="H105" s="417"/>
      <c r="I105" s="360"/>
    </row>
    <row r="106" spans="1:9" x14ac:dyDescent="0.25">
      <c r="A106" s="328">
        <v>94</v>
      </c>
      <c r="B106" s="415" t="s">
        <v>230</v>
      </c>
      <c r="C106" s="429" t="s">
        <v>231</v>
      </c>
      <c r="D106" s="375"/>
      <c r="E106" s="430"/>
      <c r="F106" s="364"/>
      <c r="G106" s="360"/>
      <c r="H106" s="417"/>
      <c r="I106" s="360"/>
    </row>
    <row r="107" spans="1:9" x14ac:dyDescent="0.25">
      <c r="A107" s="328">
        <v>96</v>
      </c>
      <c r="B107" s="415" t="s">
        <v>232</v>
      </c>
      <c r="C107" s="429" t="s">
        <v>233</v>
      </c>
      <c r="D107" s="375"/>
      <c r="E107" s="430"/>
      <c r="F107" s="364"/>
      <c r="G107" s="360"/>
      <c r="H107" s="417"/>
      <c r="I107" s="360"/>
    </row>
    <row r="108" spans="1:9" x14ac:dyDescent="0.25">
      <c r="A108" s="328">
        <v>98</v>
      </c>
      <c r="B108" s="415" t="s">
        <v>234</v>
      </c>
      <c r="C108" s="429" t="s">
        <v>235</v>
      </c>
      <c r="D108" s="375"/>
      <c r="E108" s="430"/>
      <c r="F108" s="364"/>
      <c r="G108" s="360"/>
      <c r="H108" s="417"/>
      <c r="I108" s="360"/>
    </row>
    <row r="109" spans="1:9" x14ac:dyDescent="0.25">
      <c r="A109" s="328">
        <v>99</v>
      </c>
      <c r="B109" s="404" t="s">
        <v>236</v>
      </c>
      <c r="C109" s="429" t="s">
        <v>237</v>
      </c>
      <c r="D109" s="375"/>
      <c r="E109" s="430"/>
      <c r="F109" s="364"/>
      <c r="G109" s="360"/>
      <c r="H109" s="417"/>
      <c r="I109" s="360"/>
    </row>
    <row r="110" spans="1:9" x14ac:dyDescent="0.25">
      <c r="A110" s="328">
        <v>100</v>
      </c>
      <c r="B110" s="404" t="s">
        <v>238</v>
      </c>
      <c r="C110" s="429" t="s">
        <v>239</v>
      </c>
      <c r="D110" s="375"/>
      <c r="E110" s="430"/>
      <c r="F110" s="364"/>
      <c r="G110" s="360"/>
      <c r="H110" s="417"/>
      <c r="I110" s="360"/>
    </row>
    <row r="111" spans="1:9" ht="15" customHeight="1" x14ac:dyDescent="0.25">
      <c r="A111" s="328">
        <v>101</v>
      </c>
      <c r="B111" s="404" t="s">
        <v>240</v>
      </c>
      <c r="C111" s="429" t="s">
        <v>241</v>
      </c>
      <c r="D111" s="375"/>
      <c r="E111" s="430"/>
      <c r="F111" s="364"/>
      <c r="G111" s="360"/>
      <c r="H111" s="417"/>
      <c r="I111" s="360"/>
    </row>
    <row r="112" spans="1:9" x14ac:dyDescent="0.25">
      <c r="A112" s="328">
        <v>102</v>
      </c>
      <c r="B112" s="404" t="s">
        <v>242</v>
      </c>
      <c r="C112" s="429" t="s">
        <v>243</v>
      </c>
      <c r="D112" s="375"/>
      <c r="E112" s="430"/>
      <c r="F112" s="364"/>
      <c r="G112" s="360"/>
      <c r="H112" s="417"/>
      <c r="I112" s="360"/>
    </row>
    <row r="113" spans="1:9" x14ac:dyDescent="0.25">
      <c r="A113" s="328">
        <v>103</v>
      </c>
      <c r="B113" s="404" t="s">
        <v>244</v>
      </c>
      <c r="C113" s="429" t="s">
        <v>245</v>
      </c>
      <c r="D113" s="375"/>
      <c r="E113" s="430"/>
      <c r="F113" s="364"/>
      <c r="G113" s="360"/>
      <c r="H113" s="417"/>
      <c r="I113" s="360"/>
    </row>
    <row r="114" spans="1:9" x14ac:dyDescent="0.25">
      <c r="A114" s="328">
        <v>104</v>
      </c>
      <c r="B114" s="373" t="s">
        <v>246</v>
      </c>
      <c r="C114" s="320" t="s">
        <v>247</v>
      </c>
      <c r="D114" s="375"/>
      <c r="E114" s="430"/>
      <c r="F114" s="364"/>
      <c r="G114" s="360"/>
      <c r="H114" s="417"/>
      <c r="I114" s="360"/>
    </row>
    <row r="115" spans="1:9" x14ac:dyDescent="0.25">
      <c r="A115" s="328">
        <v>105</v>
      </c>
      <c r="B115" s="418" t="s">
        <v>248</v>
      </c>
      <c r="C115" s="429" t="s">
        <v>249</v>
      </c>
      <c r="D115" s="375"/>
      <c r="E115" s="430"/>
      <c r="F115" s="364"/>
      <c r="G115" s="360"/>
      <c r="H115" s="417"/>
      <c r="I115" s="360"/>
    </row>
    <row r="116" spans="1:9" x14ac:dyDescent="0.25">
      <c r="A116" s="328">
        <v>106</v>
      </c>
      <c r="B116" s="404" t="s">
        <v>250</v>
      </c>
      <c r="C116" s="429" t="s">
        <v>251</v>
      </c>
      <c r="D116" s="375"/>
      <c r="E116" s="430"/>
      <c r="F116" s="364"/>
      <c r="G116" s="360"/>
      <c r="H116" s="417"/>
      <c r="I116" s="360"/>
    </row>
    <row r="117" spans="1:9" x14ac:dyDescent="0.25">
      <c r="A117" s="328">
        <v>107</v>
      </c>
      <c r="B117" s="415" t="s">
        <v>252</v>
      </c>
      <c r="C117" s="434" t="s">
        <v>253</v>
      </c>
      <c r="D117" s="375"/>
      <c r="E117" s="430"/>
      <c r="F117" s="364"/>
      <c r="G117" s="360"/>
      <c r="H117" s="417"/>
      <c r="I117" s="360"/>
    </row>
    <row r="118" spans="1:9" x14ac:dyDescent="0.25">
      <c r="A118" s="328">
        <v>108</v>
      </c>
      <c r="B118" s="404" t="s">
        <v>254</v>
      </c>
      <c r="C118" s="429" t="s">
        <v>255</v>
      </c>
      <c r="D118" s="375"/>
      <c r="E118" s="430"/>
      <c r="F118" s="364"/>
      <c r="G118" s="360"/>
      <c r="H118" s="417"/>
      <c r="I118" s="360"/>
    </row>
    <row r="119" spans="1:9" x14ac:dyDescent="0.25">
      <c r="A119" s="328">
        <v>109</v>
      </c>
      <c r="B119" s="418" t="s">
        <v>256</v>
      </c>
      <c r="C119" s="429" t="s">
        <v>257</v>
      </c>
      <c r="D119" s="375"/>
      <c r="E119" s="430"/>
      <c r="F119" s="364"/>
      <c r="G119" s="360"/>
      <c r="H119" s="417"/>
      <c r="I119" s="360"/>
    </row>
    <row r="120" spans="1:9" x14ac:dyDescent="0.25">
      <c r="A120" s="328">
        <v>110</v>
      </c>
      <c r="B120" s="415" t="s">
        <v>258</v>
      </c>
      <c r="C120" s="429" t="s">
        <v>259</v>
      </c>
      <c r="D120" s="375"/>
      <c r="E120" s="430"/>
      <c r="F120" s="364"/>
      <c r="G120" s="360"/>
      <c r="H120" s="417"/>
      <c r="I120" s="360"/>
    </row>
    <row r="121" spans="1:9" x14ac:dyDescent="0.25">
      <c r="A121" s="328">
        <v>111</v>
      </c>
      <c r="B121" s="404" t="s">
        <v>542</v>
      </c>
      <c r="C121" s="378" t="s">
        <v>543</v>
      </c>
      <c r="D121" s="375"/>
      <c r="E121" s="430"/>
      <c r="F121" s="364"/>
      <c r="G121" s="360"/>
      <c r="H121" s="417"/>
      <c r="I121" s="360"/>
    </row>
    <row r="122" spans="1:9" x14ac:dyDescent="0.25">
      <c r="A122" s="328">
        <v>112</v>
      </c>
      <c r="B122" s="418" t="s">
        <v>260</v>
      </c>
      <c r="C122" s="429" t="s">
        <v>261</v>
      </c>
      <c r="D122" s="375"/>
      <c r="E122" s="430"/>
      <c r="F122" s="364"/>
      <c r="G122" s="360"/>
      <c r="H122" s="417"/>
      <c r="I122" s="360"/>
    </row>
    <row r="123" spans="1:9" x14ac:dyDescent="0.25">
      <c r="A123" s="328">
        <v>113</v>
      </c>
      <c r="B123" s="404" t="s">
        <v>262</v>
      </c>
      <c r="C123" s="429" t="s">
        <v>263</v>
      </c>
      <c r="D123" s="375"/>
      <c r="E123" s="430"/>
      <c r="F123" s="364"/>
      <c r="G123" s="360"/>
      <c r="H123" s="417"/>
      <c r="I123" s="360"/>
    </row>
    <row r="124" spans="1:9" ht="25.5" x14ac:dyDescent="0.25">
      <c r="A124" s="328">
        <v>114</v>
      </c>
      <c r="B124" s="404" t="s">
        <v>264</v>
      </c>
      <c r="C124" s="435" t="s">
        <v>265</v>
      </c>
      <c r="D124" s="375"/>
      <c r="E124" s="430"/>
      <c r="F124" s="364"/>
      <c r="G124" s="360"/>
      <c r="H124" s="417"/>
      <c r="I124" s="360"/>
    </row>
    <row r="125" spans="1:9" x14ac:dyDescent="0.25">
      <c r="A125" s="328">
        <v>115</v>
      </c>
      <c r="B125" s="404" t="s">
        <v>266</v>
      </c>
      <c r="C125" s="429" t="s">
        <v>267</v>
      </c>
      <c r="D125" s="375"/>
      <c r="E125" s="430"/>
      <c r="F125" s="364"/>
      <c r="G125" s="360"/>
      <c r="H125" s="417"/>
      <c r="I125" s="360"/>
    </row>
    <row r="126" spans="1:9" x14ac:dyDescent="0.25">
      <c r="A126" s="328">
        <v>116</v>
      </c>
      <c r="B126" s="404" t="s">
        <v>268</v>
      </c>
      <c r="C126" s="429" t="s">
        <v>269</v>
      </c>
      <c r="D126" s="375"/>
      <c r="E126" s="430"/>
      <c r="F126" s="364"/>
      <c r="G126" s="360"/>
      <c r="H126" s="417"/>
      <c r="I126" s="360"/>
    </row>
    <row r="127" spans="1:9" x14ac:dyDescent="0.25">
      <c r="A127" s="328">
        <v>117</v>
      </c>
      <c r="B127" s="404" t="s">
        <v>270</v>
      </c>
      <c r="C127" s="429" t="s">
        <v>271</v>
      </c>
      <c r="D127" s="375"/>
      <c r="E127" s="430"/>
      <c r="F127" s="364"/>
      <c r="G127" s="360"/>
      <c r="H127" s="417"/>
      <c r="I127" s="360"/>
    </row>
    <row r="128" spans="1:9" x14ac:dyDescent="0.25">
      <c r="A128" s="328">
        <v>118</v>
      </c>
      <c r="B128" s="415" t="s">
        <v>272</v>
      </c>
      <c r="C128" s="429" t="s">
        <v>273</v>
      </c>
      <c r="D128" s="375"/>
      <c r="E128" s="430"/>
      <c r="F128" s="364"/>
      <c r="G128" s="360"/>
      <c r="H128" s="417"/>
      <c r="I128" s="360"/>
    </row>
    <row r="129" spans="1:9" x14ac:dyDescent="0.25">
      <c r="A129" s="328">
        <v>119</v>
      </c>
      <c r="B129" s="415" t="s">
        <v>274</v>
      </c>
      <c r="C129" s="429" t="s">
        <v>275</v>
      </c>
      <c r="D129" s="375"/>
      <c r="E129" s="430"/>
      <c r="F129" s="364"/>
      <c r="G129" s="360"/>
      <c r="H129" s="417"/>
      <c r="I129" s="360"/>
    </row>
    <row r="130" spans="1:9" x14ac:dyDescent="0.25">
      <c r="A130" s="328">
        <v>120</v>
      </c>
      <c r="B130" s="415" t="s">
        <v>276</v>
      </c>
      <c r="C130" s="429" t="s">
        <v>277</v>
      </c>
      <c r="D130" s="375"/>
      <c r="E130" s="430"/>
      <c r="F130" s="364"/>
      <c r="G130" s="360"/>
      <c r="H130" s="417"/>
      <c r="I130" s="360"/>
    </row>
    <row r="131" spans="1:9" x14ac:dyDescent="0.25">
      <c r="A131" s="328">
        <v>121</v>
      </c>
      <c r="B131" s="404" t="s">
        <v>278</v>
      </c>
      <c r="C131" s="429" t="s">
        <v>279</v>
      </c>
      <c r="D131" s="375"/>
      <c r="E131" s="430"/>
      <c r="F131" s="364"/>
      <c r="G131" s="360"/>
      <c r="H131" s="417"/>
      <c r="I131" s="360"/>
    </row>
    <row r="132" spans="1:9" x14ac:dyDescent="0.25">
      <c r="A132" s="328">
        <v>122</v>
      </c>
      <c r="B132" s="404" t="s">
        <v>280</v>
      </c>
      <c r="C132" s="429" t="s">
        <v>281</v>
      </c>
      <c r="D132" s="375"/>
      <c r="E132" s="430"/>
      <c r="F132" s="364"/>
      <c r="G132" s="360"/>
      <c r="H132" s="417"/>
      <c r="I132" s="360"/>
    </row>
    <row r="133" spans="1:9" x14ac:dyDescent="0.25">
      <c r="A133" s="328">
        <v>123</v>
      </c>
      <c r="B133" s="404" t="s">
        <v>282</v>
      </c>
      <c r="C133" s="429" t="s">
        <v>768</v>
      </c>
      <c r="D133" s="375"/>
      <c r="E133" s="430"/>
      <c r="F133" s="364"/>
      <c r="G133" s="360"/>
      <c r="H133" s="417"/>
      <c r="I133" s="360"/>
    </row>
    <row r="134" spans="1:9" x14ac:dyDescent="0.25">
      <c r="A134" s="328">
        <v>124</v>
      </c>
      <c r="B134" s="415" t="s">
        <v>283</v>
      </c>
      <c r="C134" s="429" t="s">
        <v>284</v>
      </c>
      <c r="D134" s="375"/>
      <c r="E134" s="430"/>
      <c r="F134" s="364"/>
      <c r="G134" s="360"/>
      <c r="H134" s="417"/>
      <c r="I134" s="360"/>
    </row>
    <row r="135" spans="1:9" ht="24" customHeight="1" x14ac:dyDescent="0.25">
      <c r="A135" s="328">
        <v>125</v>
      </c>
      <c r="B135" s="418" t="s">
        <v>285</v>
      </c>
      <c r="C135" s="429" t="s">
        <v>726</v>
      </c>
      <c r="D135" s="375"/>
      <c r="E135" s="430"/>
      <c r="F135" s="364"/>
      <c r="G135" s="360"/>
      <c r="H135" s="417"/>
      <c r="I135" s="360"/>
    </row>
    <row r="136" spans="1:9" x14ac:dyDescent="0.25">
      <c r="A136" s="328">
        <v>126</v>
      </c>
      <c r="B136" s="404" t="s">
        <v>286</v>
      </c>
      <c r="C136" s="429" t="s">
        <v>287</v>
      </c>
      <c r="D136" s="375"/>
      <c r="E136" s="430"/>
      <c r="F136" s="364"/>
      <c r="G136" s="360"/>
      <c r="H136" s="417"/>
      <c r="I136" s="360"/>
    </row>
    <row r="137" spans="1:9" x14ac:dyDescent="0.25">
      <c r="A137" s="328">
        <v>127</v>
      </c>
      <c r="B137" s="415" t="s">
        <v>288</v>
      </c>
      <c r="C137" s="429" t="s">
        <v>289</v>
      </c>
      <c r="D137" s="375"/>
      <c r="E137" s="430"/>
      <c r="F137" s="364"/>
      <c r="G137" s="360"/>
      <c r="H137" s="417"/>
      <c r="I137" s="360"/>
    </row>
    <row r="138" spans="1:9" x14ac:dyDescent="0.25">
      <c r="A138" s="328">
        <v>128</v>
      </c>
      <c r="B138" s="404" t="s">
        <v>290</v>
      </c>
      <c r="C138" s="429" t="s">
        <v>291</v>
      </c>
      <c r="D138" s="375"/>
      <c r="E138" s="430"/>
      <c r="F138" s="364"/>
      <c r="G138" s="360"/>
      <c r="H138" s="417"/>
      <c r="I138" s="360"/>
    </row>
    <row r="139" spans="1:9" x14ac:dyDescent="0.25">
      <c r="A139" s="328">
        <v>129</v>
      </c>
      <c r="B139" s="420" t="s">
        <v>292</v>
      </c>
      <c r="C139" s="436" t="s">
        <v>293</v>
      </c>
      <c r="D139" s="375"/>
      <c r="E139" s="430"/>
      <c r="F139" s="364"/>
      <c r="G139" s="360"/>
      <c r="H139" s="417"/>
      <c r="I139" s="360"/>
    </row>
    <row r="140" spans="1:9" x14ac:dyDescent="0.25">
      <c r="A140" s="328">
        <v>130</v>
      </c>
      <c r="B140" s="421" t="s">
        <v>294</v>
      </c>
      <c r="C140" s="436" t="s">
        <v>295</v>
      </c>
      <c r="D140" s="437">
        <v>26100</v>
      </c>
      <c r="E140" s="360">
        <v>4350</v>
      </c>
      <c r="F140" s="417">
        <v>2363</v>
      </c>
      <c r="G140" s="360">
        <v>75600</v>
      </c>
      <c r="H140" s="417">
        <v>2820</v>
      </c>
      <c r="I140" s="360">
        <v>59210</v>
      </c>
    </row>
    <row r="141" spans="1:9" x14ac:dyDescent="0.25">
      <c r="A141" s="328">
        <v>131</v>
      </c>
      <c r="B141" s="438" t="s">
        <v>296</v>
      </c>
      <c r="C141" s="384" t="s">
        <v>460</v>
      </c>
      <c r="D141" s="364"/>
      <c r="E141" s="439"/>
      <c r="F141" s="375"/>
      <c r="G141" s="360"/>
      <c r="H141" s="417"/>
      <c r="I141" s="360"/>
    </row>
    <row r="142" spans="1:9" x14ac:dyDescent="0.25">
      <c r="A142" s="328">
        <v>132</v>
      </c>
      <c r="B142" s="385" t="s">
        <v>298</v>
      </c>
      <c r="C142" s="422" t="s">
        <v>299</v>
      </c>
      <c r="D142" s="364"/>
      <c r="E142" s="439"/>
      <c r="F142" s="375"/>
      <c r="G142" s="360"/>
      <c r="H142" s="417"/>
      <c r="I142" s="360"/>
    </row>
    <row r="143" spans="1:9" x14ac:dyDescent="0.25">
      <c r="A143" s="328">
        <v>133</v>
      </c>
      <c r="B143" s="326" t="s">
        <v>300</v>
      </c>
      <c r="C143" s="422" t="s">
        <v>301</v>
      </c>
      <c r="D143" s="364"/>
      <c r="E143" s="439"/>
      <c r="F143" s="375"/>
      <c r="G143" s="360"/>
      <c r="H143" s="417"/>
      <c r="I143" s="360"/>
    </row>
    <row r="144" spans="1:9" x14ac:dyDescent="0.25">
      <c r="A144" s="328">
        <v>134</v>
      </c>
      <c r="B144" s="326" t="s">
        <v>302</v>
      </c>
      <c r="C144" s="422" t="s">
        <v>303</v>
      </c>
      <c r="D144" s="364"/>
      <c r="E144" s="439"/>
      <c r="F144" s="375"/>
      <c r="G144" s="360"/>
      <c r="H144" s="417"/>
      <c r="I144" s="360"/>
    </row>
    <row r="145" spans="1:9" ht="15.75" thickBot="1" x14ac:dyDescent="0.3">
      <c r="A145" s="323">
        <v>135</v>
      </c>
      <c r="B145" s="388" t="s">
        <v>304</v>
      </c>
      <c r="C145" s="389" t="s">
        <v>305</v>
      </c>
      <c r="D145" s="390"/>
      <c r="E145" s="391"/>
      <c r="F145" s="440"/>
      <c r="G145" s="391"/>
      <c r="H145" s="425"/>
      <c r="I145" s="391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288" customWidth="1"/>
    <col min="2" max="4" width="22.28515625" style="274" customWidth="1"/>
    <col min="5" max="16384" width="9.140625" style="274"/>
  </cols>
  <sheetData>
    <row r="1" spans="1:4" ht="59.25" customHeight="1" x14ac:dyDescent="0.25">
      <c r="A1" s="861" t="s">
        <v>647</v>
      </c>
      <c r="B1" s="861"/>
      <c r="C1" s="861"/>
      <c r="D1" s="861"/>
    </row>
    <row r="2" spans="1:4" ht="18.75" customHeight="1" x14ac:dyDescent="0.25">
      <c r="A2" s="275"/>
      <c r="B2" s="275"/>
      <c r="C2" s="275"/>
    </row>
    <row r="3" spans="1:4" s="278" customFormat="1" ht="45" customHeight="1" x14ac:dyDescent="0.25">
      <c r="A3" s="276" t="s">
        <v>604</v>
      </c>
      <c r="B3" s="276" t="s">
        <v>605</v>
      </c>
      <c r="C3" s="277" t="s">
        <v>291</v>
      </c>
      <c r="D3" s="277" t="s">
        <v>15</v>
      </c>
    </row>
    <row r="4" spans="1:4" s="278" customFormat="1" ht="18.75" customHeight="1" x14ac:dyDescent="0.25">
      <c r="A4" s="279" t="s">
        <v>627</v>
      </c>
      <c r="B4" s="279"/>
      <c r="C4" s="280"/>
      <c r="D4" s="289"/>
    </row>
    <row r="5" spans="1:4" s="278" customFormat="1" ht="14.25" customHeight="1" x14ac:dyDescent="0.25">
      <c r="A5" s="279">
        <v>25</v>
      </c>
      <c r="B5" s="280"/>
      <c r="C5" s="280">
        <v>50</v>
      </c>
      <c r="D5" s="290">
        <f>B5+C5</f>
        <v>50</v>
      </c>
    </row>
    <row r="6" spans="1:4" s="278" customFormat="1" ht="14.25" customHeight="1" x14ac:dyDescent="0.25">
      <c r="A6" s="279">
        <v>26</v>
      </c>
      <c r="B6" s="280">
        <v>99</v>
      </c>
      <c r="C6" s="280">
        <v>60</v>
      </c>
      <c r="D6" s="290">
        <f>B6+C6</f>
        <v>159</v>
      </c>
    </row>
    <row r="7" spans="1:4" s="278" customFormat="1" ht="14.25" customHeight="1" x14ac:dyDescent="0.25">
      <c r="A7" s="279">
        <v>27</v>
      </c>
      <c r="B7" s="280">
        <v>10</v>
      </c>
      <c r="C7" s="281"/>
      <c r="D7" s="290">
        <f>B7+C7</f>
        <v>10</v>
      </c>
    </row>
    <row r="8" spans="1:4" s="278" customFormat="1" ht="18.75" customHeight="1" x14ac:dyDescent="0.25">
      <c r="A8" s="282" t="s">
        <v>44</v>
      </c>
      <c r="B8" s="283">
        <f>SUM(B5:B7)</f>
        <v>109</v>
      </c>
      <c r="C8" s="283">
        <f t="shared" ref="C8:D8" si="0">SUM(C5:C7)</f>
        <v>110</v>
      </c>
      <c r="D8" s="283">
        <f t="shared" si="0"/>
        <v>219</v>
      </c>
    </row>
    <row r="9" spans="1:4" s="285" customFormat="1" ht="15.75" x14ac:dyDescent="0.25">
      <c r="A9" s="284"/>
    </row>
    <row r="10" spans="1:4" s="287" customFormat="1" ht="15.75" x14ac:dyDescent="0.25">
      <c r="A10" s="286"/>
    </row>
    <row r="11" spans="1:4" s="287" customFormat="1" ht="15.75" x14ac:dyDescent="0.25">
      <c r="A11" s="286"/>
    </row>
    <row r="12" spans="1:4" s="287" customFormat="1" ht="15.75" x14ac:dyDescent="0.25">
      <c r="A12" s="286"/>
    </row>
    <row r="13" spans="1:4" s="287" customFormat="1" ht="15.75" x14ac:dyDescent="0.25">
      <c r="A13" s="286"/>
    </row>
    <row r="14" spans="1:4" s="287" customFormat="1" ht="15.75" x14ac:dyDescent="0.25">
      <c r="A14" s="286"/>
    </row>
    <row r="15" spans="1:4" s="287" customFormat="1" ht="15.75" x14ac:dyDescent="0.25">
      <c r="A15" s="286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F132" sqref="F132:F133"/>
    </sheetView>
  </sheetViews>
  <sheetFormatPr defaultRowHeight="15" x14ac:dyDescent="0.25"/>
  <cols>
    <col min="1" max="1" width="5.42578125" style="107" customWidth="1"/>
    <col min="2" max="2" width="9.140625" style="107"/>
    <col min="3" max="3" width="36.140625" style="107" customWidth="1"/>
    <col min="4" max="5" width="16.140625" style="107" customWidth="1"/>
    <col min="6" max="6" width="13.7109375" style="107" customWidth="1"/>
    <col min="7" max="7" width="15.42578125" style="107" customWidth="1"/>
    <col min="8" max="8" width="14.42578125" style="107" customWidth="1"/>
    <col min="9" max="9" width="14.28515625" style="107" customWidth="1"/>
    <col min="10" max="10" width="14.7109375" style="107" customWidth="1"/>
    <col min="11" max="11" width="14.42578125" style="107" customWidth="1"/>
    <col min="12" max="16384" width="9.140625" style="107"/>
  </cols>
  <sheetData>
    <row r="1" spans="1:11" ht="44.25" customHeight="1" x14ac:dyDescent="0.25">
      <c r="A1" s="1224" t="s">
        <v>709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</row>
    <row r="2" spans="1:11" ht="15.75" thickBot="1" x14ac:dyDescent="0.3">
      <c r="A2" s="394"/>
      <c r="B2" s="394"/>
      <c r="C2" s="395"/>
      <c r="D2" s="396"/>
      <c r="E2" s="396"/>
      <c r="F2" s="397"/>
      <c r="G2" s="396"/>
      <c r="H2" s="441"/>
      <c r="I2" s="396"/>
      <c r="J2" s="441"/>
      <c r="K2" s="396"/>
    </row>
    <row r="3" spans="1:11" x14ac:dyDescent="0.25">
      <c r="A3" s="1293" t="s">
        <v>0</v>
      </c>
      <c r="B3" s="1296" t="s">
        <v>692</v>
      </c>
      <c r="C3" s="1353" t="s">
        <v>2</v>
      </c>
      <c r="D3" s="1304" t="s">
        <v>702</v>
      </c>
      <c r="E3" s="1356"/>
      <c r="F3" s="1356"/>
      <c r="G3" s="1323"/>
      <c r="H3" s="1304" t="s">
        <v>710</v>
      </c>
      <c r="I3" s="1337"/>
      <c r="J3" s="1304" t="s">
        <v>711</v>
      </c>
      <c r="K3" s="1337"/>
    </row>
    <row r="4" spans="1:11" x14ac:dyDescent="0.25">
      <c r="A4" s="1294"/>
      <c r="B4" s="1297"/>
      <c r="C4" s="1354"/>
      <c r="D4" s="1335"/>
      <c r="E4" s="1357"/>
      <c r="F4" s="1357"/>
      <c r="G4" s="1336"/>
      <c r="H4" s="1335"/>
      <c r="I4" s="1338"/>
      <c r="J4" s="1335"/>
      <c r="K4" s="1338"/>
    </row>
    <row r="5" spans="1:11" ht="23.25" customHeight="1" x14ac:dyDescent="0.25">
      <c r="A5" s="1294"/>
      <c r="B5" s="1297"/>
      <c r="C5" s="1354"/>
      <c r="D5" s="1358" t="s">
        <v>440</v>
      </c>
      <c r="E5" s="1359" t="s">
        <v>712</v>
      </c>
      <c r="F5" s="1361" t="s">
        <v>706</v>
      </c>
      <c r="G5" s="1348" t="s">
        <v>696</v>
      </c>
      <c r="H5" s="1342" t="s">
        <v>713</v>
      </c>
      <c r="I5" s="1350" t="s">
        <v>698</v>
      </c>
      <c r="J5" s="1351" t="s">
        <v>699</v>
      </c>
      <c r="K5" s="1352" t="s">
        <v>700</v>
      </c>
    </row>
    <row r="6" spans="1:11" ht="19.5" customHeight="1" thickBot="1" x14ac:dyDescent="0.3">
      <c r="A6" s="1295"/>
      <c r="B6" s="1298"/>
      <c r="C6" s="1355"/>
      <c r="D6" s="1343"/>
      <c r="E6" s="1360"/>
      <c r="F6" s="1360"/>
      <c r="G6" s="1349"/>
      <c r="H6" s="1343"/>
      <c r="I6" s="1344"/>
      <c r="J6" s="1343"/>
      <c r="K6" s="1344"/>
    </row>
    <row r="7" spans="1:11" x14ac:dyDescent="0.25">
      <c r="A7" s="1290" t="s">
        <v>44</v>
      </c>
      <c r="B7" s="1291"/>
      <c r="C7" s="1292"/>
      <c r="D7" s="427">
        <f t="shared" ref="D7:K7" si="0">SUM(D8:D145)-D92</f>
        <v>639440</v>
      </c>
      <c r="E7" s="399">
        <f t="shared" si="0"/>
        <v>99924</v>
      </c>
      <c r="F7" s="399">
        <f t="shared" si="0"/>
        <v>739364</v>
      </c>
      <c r="G7" s="442">
        <f t="shared" si="0"/>
        <v>188557</v>
      </c>
      <c r="H7" s="428">
        <f t="shared" si="0"/>
        <v>5657</v>
      </c>
      <c r="I7" s="443">
        <f t="shared" si="0"/>
        <v>525590</v>
      </c>
      <c r="J7" s="427">
        <f t="shared" si="0"/>
        <v>799</v>
      </c>
      <c r="K7" s="400">
        <f t="shared" si="0"/>
        <v>41540</v>
      </c>
    </row>
    <row r="8" spans="1:11" x14ac:dyDescent="0.25">
      <c r="A8" s="354">
        <v>1</v>
      </c>
      <c r="B8" s="415" t="s">
        <v>54</v>
      </c>
      <c r="C8" s="429" t="s">
        <v>55</v>
      </c>
      <c r="D8" s="402">
        <v>2850</v>
      </c>
      <c r="E8" s="403"/>
      <c r="F8" s="399">
        <f>D8+E8</f>
        <v>2850</v>
      </c>
      <c r="G8" s="406">
        <v>475</v>
      </c>
      <c r="H8" s="444"/>
      <c r="I8" s="416"/>
      <c r="J8" s="445"/>
      <c r="K8" s="406"/>
    </row>
    <row r="9" spans="1:11" x14ac:dyDescent="0.25">
      <c r="A9" s="354">
        <v>2</v>
      </c>
      <c r="B9" s="418" t="s">
        <v>56</v>
      </c>
      <c r="C9" s="429" t="s">
        <v>57</v>
      </c>
      <c r="D9" s="402">
        <v>5458</v>
      </c>
      <c r="E9" s="403"/>
      <c r="F9" s="399">
        <f t="shared" ref="F9:F59" si="1">D9+E9</f>
        <v>5458</v>
      </c>
      <c r="G9" s="406">
        <v>912</v>
      </c>
      <c r="H9" s="444"/>
      <c r="I9" s="416"/>
      <c r="J9" s="445"/>
      <c r="K9" s="406"/>
    </row>
    <row r="10" spans="1:11" x14ac:dyDescent="0.25">
      <c r="A10" s="354">
        <v>3</v>
      </c>
      <c r="B10" s="404" t="s">
        <v>16</v>
      </c>
      <c r="C10" s="429" t="s">
        <v>17</v>
      </c>
      <c r="D10" s="402"/>
      <c r="E10" s="403"/>
      <c r="F10" s="399"/>
      <c r="G10" s="406"/>
      <c r="H10" s="444"/>
      <c r="I10" s="416"/>
      <c r="J10" s="445"/>
      <c r="K10" s="406"/>
    </row>
    <row r="11" spans="1:11" x14ac:dyDescent="0.25">
      <c r="A11" s="354">
        <v>4</v>
      </c>
      <c r="B11" s="415" t="s">
        <v>58</v>
      </c>
      <c r="C11" s="429" t="s">
        <v>59</v>
      </c>
      <c r="D11" s="402">
        <v>2250</v>
      </c>
      <c r="E11" s="403"/>
      <c r="F11" s="399">
        <f t="shared" si="1"/>
        <v>2250</v>
      </c>
      <c r="G11" s="406">
        <v>375</v>
      </c>
      <c r="H11" s="444"/>
      <c r="I11" s="416"/>
      <c r="J11" s="445"/>
      <c r="K11" s="406"/>
    </row>
    <row r="12" spans="1:11" x14ac:dyDescent="0.25">
      <c r="A12" s="354">
        <v>5</v>
      </c>
      <c r="B12" s="415" t="s">
        <v>60</v>
      </c>
      <c r="C12" s="419" t="s">
        <v>61</v>
      </c>
      <c r="D12" s="402">
        <v>3000</v>
      </c>
      <c r="E12" s="403"/>
      <c r="F12" s="399">
        <f t="shared" si="1"/>
        <v>3000</v>
      </c>
      <c r="G12" s="403">
        <v>500</v>
      </c>
      <c r="H12" s="446"/>
      <c r="I12" s="416"/>
      <c r="J12" s="445"/>
      <c r="K12" s="406"/>
    </row>
    <row r="13" spans="1:11" x14ac:dyDescent="0.25">
      <c r="A13" s="354">
        <v>6</v>
      </c>
      <c r="B13" s="404" t="s">
        <v>18</v>
      </c>
      <c r="C13" s="419" t="s">
        <v>19</v>
      </c>
      <c r="D13" s="402">
        <v>1500</v>
      </c>
      <c r="E13" s="403"/>
      <c r="F13" s="399">
        <f t="shared" si="1"/>
        <v>1500</v>
      </c>
      <c r="G13" s="403">
        <v>250</v>
      </c>
      <c r="H13" s="446"/>
      <c r="I13" s="416"/>
      <c r="J13" s="445"/>
      <c r="K13" s="406"/>
    </row>
    <row r="14" spans="1:11" x14ac:dyDescent="0.25">
      <c r="A14" s="354">
        <v>7</v>
      </c>
      <c r="B14" s="415" t="s">
        <v>62</v>
      </c>
      <c r="C14" s="419" t="s">
        <v>63</v>
      </c>
      <c r="D14" s="402">
        <v>5625</v>
      </c>
      <c r="E14" s="403"/>
      <c r="F14" s="399">
        <f t="shared" si="1"/>
        <v>5625</v>
      </c>
      <c r="G14" s="403">
        <v>938</v>
      </c>
      <c r="H14" s="446"/>
      <c r="I14" s="416"/>
      <c r="J14" s="445"/>
      <c r="K14" s="406"/>
    </row>
    <row r="15" spans="1:11" x14ac:dyDescent="0.25">
      <c r="A15" s="354">
        <v>8</v>
      </c>
      <c r="B15" s="404" t="s">
        <v>64</v>
      </c>
      <c r="C15" s="419" t="s">
        <v>65</v>
      </c>
      <c r="D15" s="402">
        <v>3375</v>
      </c>
      <c r="E15" s="403"/>
      <c r="F15" s="399">
        <f t="shared" si="1"/>
        <v>3375</v>
      </c>
      <c r="G15" s="403">
        <v>562</v>
      </c>
      <c r="H15" s="446"/>
      <c r="I15" s="416"/>
      <c r="J15" s="445"/>
      <c r="K15" s="406"/>
    </row>
    <row r="16" spans="1:11" x14ac:dyDescent="0.25">
      <c r="A16" s="354">
        <v>9</v>
      </c>
      <c r="B16" s="404" t="s">
        <v>66</v>
      </c>
      <c r="C16" s="419" t="s">
        <v>67</v>
      </c>
      <c r="D16" s="402">
        <v>3750</v>
      </c>
      <c r="E16" s="403"/>
      <c r="F16" s="399">
        <f t="shared" si="1"/>
        <v>3750</v>
      </c>
      <c r="G16" s="403">
        <v>625</v>
      </c>
      <c r="H16" s="446"/>
      <c r="I16" s="416"/>
      <c r="J16" s="445"/>
      <c r="K16" s="406"/>
    </row>
    <row r="17" spans="1:11" x14ac:dyDescent="0.25">
      <c r="A17" s="354">
        <v>10</v>
      </c>
      <c r="B17" s="404" t="s">
        <v>68</v>
      </c>
      <c r="C17" s="419" t="s">
        <v>69</v>
      </c>
      <c r="D17" s="402">
        <v>2625</v>
      </c>
      <c r="E17" s="403"/>
      <c r="F17" s="399">
        <f t="shared" si="1"/>
        <v>2625</v>
      </c>
      <c r="G17" s="403">
        <v>438</v>
      </c>
      <c r="H17" s="446"/>
      <c r="I17" s="416"/>
      <c r="J17" s="445"/>
      <c r="K17" s="406"/>
    </row>
    <row r="18" spans="1:11" x14ac:dyDescent="0.25">
      <c r="A18" s="354">
        <v>11</v>
      </c>
      <c r="B18" s="404" t="s">
        <v>70</v>
      </c>
      <c r="C18" s="419" t="s">
        <v>71</v>
      </c>
      <c r="D18" s="402">
        <v>3418</v>
      </c>
      <c r="E18" s="403"/>
      <c r="F18" s="399">
        <f t="shared" si="1"/>
        <v>3418</v>
      </c>
      <c r="G18" s="403">
        <v>569</v>
      </c>
      <c r="H18" s="446"/>
      <c r="I18" s="416"/>
      <c r="J18" s="445"/>
      <c r="K18" s="406"/>
    </row>
    <row r="19" spans="1:11" x14ac:dyDescent="0.25">
      <c r="A19" s="354">
        <v>12</v>
      </c>
      <c r="B19" s="404" t="s">
        <v>72</v>
      </c>
      <c r="C19" s="419" t="s">
        <v>73</v>
      </c>
      <c r="D19" s="402">
        <v>6525</v>
      </c>
      <c r="E19" s="403"/>
      <c r="F19" s="399">
        <f t="shared" si="1"/>
        <v>6525</v>
      </c>
      <c r="G19" s="403">
        <v>1088</v>
      </c>
      <c r="H19" s="446"/>
      <c r="I19" s="416"/>
      <c r="J19" s="445"/>
      <c r="K19" s="406"/>
    </row>
    <row r="20" spans="1:11" x14ac:dyDescent="0.25">
      <c r="A20" s="354">
        <v>13</v>
      </c>
      <c r="B20" s="404" t="s">
        <v>74</v>
      </c>
      <c r="C20" s="419" t="s">
        <v>75</v>
      </c>
      <c r="D20" s="402"/>
      <c r="E20" s="403"/>
      <c r="F20" s="399"/>
      <c r="G20" s="403"/>
      <c r="H20" s="446"/>
      <c r="I20" s="416"/>
      <c r="J20" s="445"/>
      <c r="K20" s="406"/>
    </row>
    <row r="21" spans="1:11" x14ac:dyDescent="0.25">
      <c r="A21" s="354">
        <v>14</v>
      </c>
      <c r="B21" s="404" t="s">
        <v>76</v>
      </c>
      <c r="C21" s="419" t="s">
        <v>77</v>
      </c>
      <c r="D21" s="402">
        <v>4575</v>
      </c>
      <c r="E21" s="403"/>
      <c r="F21" s="399">
        <f t="shared" si="1"/>
        <v>4575</v>
      </c>
      <c r="G21" s="403">
        <v>762</v>
      </c>
      <c r="H21" s="446"/>
      <c r="I21" s="416"/>
      <c r="J21" s="445"/>
      <c r="K21" s="406"/>
    </row>
    <row r="22" spans="1:11" x14ac:dyDescent="0.25">
      <c r="A22" s="354">
        <v>15</v>
      </c>
      <c r="B22" s="404" t="s">
        <v>78</v>
      </c>
      <c r="C22" s="419" t="s">
        <v>79</v>
      </c>
      <c r="D22" s="402">
        <v>6000</v>
      </c>
      <c r="E22" s="403"/>
      <c r="F22" s="399">
        <f t="shared" si="1"/>
        <v>6000</v>
      </c>
      <c r="G22" s="403">
        <v>1000</v>
      </c>
      <c r="H22" s="446"/>
      <c r="I22" s="416"/>
      <c r="J22" s="445"/>
      <c r="K22" s="406"/>
    </row>
    <row r="23" spans="1:11" x14ac:dyDescent="0.25">
      <c r="A23" s="354">
        <v>16</v>
      </c>
      <c r="B23" s="404" t="s">
        <v>80</v>
      </c>
      <c r="C23" s="419" t="s">
        <v>81</v>
      </c>
      <c r="D23" s="402">
        <v>7500</v>
      </c>
      <c r="E23" s="403"/>
      <c r="F23" s="399">
        <f t="shared" si="1"/>
        <v>7500</v>
      </c>
      <c r="G23" s="403">
        <v>1250</v>
      </c>
      <c r="H23" s="446"/>
      <c r="I23" s="416"/>
      <c r="J23" s="445"/>
      <c r="K23" s="406"/>
    </row>
    <row r="24" spans="1:11" x14ac:dyDescent="0.25">
      <c r="A24" s="354">
        <v>17</v>
      </c>
      <c r="B24" s="404" t="s">
        <v>20</v>
      </c>
      <c r="C24" s="419" t="s">
        <v>21</v>
      </c>
      <c r="D24" s="402"/>
      <c r="E24" s="403"/>
      <c r="F24" s="399"/>
      <c r="G24" s="403"/>
      <c r="H24" s="446"/>
      <c r="I24" s="416"/>
      <c r="J24" s="445"/>
      <c r="K24" s="406"/>
    </row>
    <row r="25" spans="1:11" x14ac:dyDescent="0.25">
      <c r="A25" s="354">
        <v>18</v>
      </c>
      <c r="B25" s="415" t="s">
        <v>82</v>
      </c>
      <c r="C25" s="419" t="s">
        <v>83</v>
      </c>
      <c r="D25" s="402">
        <v>2250</v>
      </c>
      <c r="E25" s="403"/>
      <c r="F25" s="399">
        <f t="shared" si="1"/>
        <v>2250</v>
      </c>
      <c r="G25" s="403">
        <v>375</v>
      </c>
      <c r="H25" s="446"/>
      <c r="I25" s="416"/>
      <c r="J25" s="445"/>
      <c r="K25" s="406"/>
    </row>
    <row r="26" spans="1:11" x14ac:dyDescent="0.25">
      <c r="A26" s="354">
        <v>19</v>
      </c>
      <c r="B26" s="415" t="s">
        <v>84</v>
      </c>
      <c r="C26" s="419" t="s">
        <v>85</v>
      </c>
      <c r="D26" s="402">
        <v>2250</v>
      </c>
      <c r="E26" s="403"/>
      <c r="F26" s="399">
        <f t="shared" si="1"/>
        <v>2250</v>
      </c>
      <c r="G26" s="403">
        <v>375</v>
      </c>
      <c r="H26" s="446"/>
      <c r="I26" s="416"/>
      <c r="J26" s="445"/>
      <c r="K26" s="406"/>
    </row>
    <row r="27" spans="1:11" x14ac:dyDescent="0.25">
      <c r="A27" s="354">
        <v>20</v>
      </c>
      <c r="B27" s="415" t="s">
        <v>86</v>
      </c>
      <c r="C27" s="419" t="s">
        <v>87</v>
      </c>
      <c r="D27" s="402">
        <v>5250</v>
      </c>
      <c r="E27" s="403"/>
      <c r="F27" s="399">
        <f t="shared" si="1"/>
        <v>5250</v>
      </c>
      <c r="G27" s="403">
        <v>875</v>
      </c>
      <c r="H27" s="446"/>
      <c r="I27" s="416"/>
      <c r="J27" s="445"/>
      <c r="K27" s="406"/>
    </row>
    <row r="28" spans="1:11" x14ac:dyDescent="0.25">
      <c r="A28" s="354">
        <v>21</v>
      </c>
      <c r="B28" s="415" t="s">
        <v>22</v>
      </c>
      <c r="C28" s="419" t="s">
        <v>23</v>
      </c>
      <c r="D28" s="402"/>
      <c r="E28" s="403"/>
      <c r="F28" s="399"/>
      <c r="G28" s="403"/>
      <c r="H28" s="446"/>
      <c r="I28" s="416"/>
      <c r="J28" s="445"/>
      <c r="K28" s="406"/>
    </row>
    <row r="29" spans="1:11" x14ac:dyDescent="0.25">
      <c r="A29" s="354">
        <v>22</v>
      </c>
      <c r="B29" s="404" t="s">
        <v>24</v>
      </c>
      <c r="C29" s="419" t="s">
        <v>25</v>
      </c>
      <c r="D29" s="402"/>
      <c r="E29" s="403"/>
      <c r="F29" s="399"/>
      <c r="G29" s="403"/>
      <c r="H29" s="446"/>
      <c r="I29" s="416"/>
      <c r="J29" s="445"/>
      <c r="K29" s="406"/>
    </row>
    <row r="30" spans="1:11" x14ac:dyDescent="0.25">
      <c r="A30" s="354">
        <v>23</v>
      </c>
      <c r="B30" s="404" t="s">
        <v>88</v>
      </c>
      <c r="C30" s="419" t="s">
        <v>89</v>
      </c>
      <c r="D30" s="402"/>
      <c r="E30" s="403"/>
      <c r="F30" s="399"/>
      <c r="G30" s="403"/>
      <c r="H30" s="446"/>
      <c r="I30" s="416"/>
      <c r="J30" s="445"/>
      <c r="K30" s="406"/>
    </row>
    <row r="31" spans="1:11" ht="25.5" x14ac:dyDescent="0.25">
      <c r="A31" s="354">
        <v>24</v>
      </c>
      <c r="B31" s="404" t="s">
        <v>90</v>
      </c>
      <c r="C31" s="419" t="s">
        <v>91</v>
      </c>
      <c r="D31" s="402"/>
      <c r="E31" s="403"/>
      <c r="F31" s="399"/>
      <c r="G31" s="403"/>
      <c r="H31" s="446"/>
      <c r="I31" s="416"/>
      <c r="J31" s="445"/>
      <c r="K31" s="406"/>
    </row>
    <row r="32" spans="1:11" x14ac:dyDescent="0.25">
      <c r="A32" s="354">
        <v>25</v>
      </c>
      <c r="B32" s="415" t="s">
        <v>92</v>
      </c>
      <c r="C32" s="419" t="s">
        <v>93</v>
      </c>
      <c r="D32" s="402">
        <v>5625</v>
      </c>
      <c r="E32" s="403"/>
      <c r="F32" s="399">
        <f t="shared" si="1"/>
        <v>5625</v>
      </c>
      <c r="G32" s="403">
        <v>938</v>
      </c>
      <c r="H32" s="446"/>
      <c r="I32" s="416"/>
      <c r="J32" s="445"/>
      <c r="K32" s="406"/>
    </row>
    <row r="33" spans="1:11" x14ac:dyDescent="0.25">
      <c r="A33" s="354">
        <v>26</v>
      </c>
      <c r="B33" s="404" t="s">
        <v>94</v>
      </c>
      <c r="C33" s="419" t="s">
        <v>95</v>
      </c>
      <c r="D33" s="402"/>
      <c r="E33" s="403"/>
      <c r="F33" s="399"/>
      <c r="G33" s="403"/>
      <c r="H33" s="446"/>
      <c r="I33" s="416"/>
      <c r="J33" s="445"/>
      <c r="K33" s="406"/>
    </row>
    <row r="34" spans="1:11" x14ac:dyDescent="0.25">
      <c r="A34" s="354">
        <v>27</v>
      </c>
      <c r="B34" s="418" t="s">
        <v>96</v>
      </c>
      <c r="C34" s="419" t="s">
        <v>97</v>
      </c>
      <c r="D34" s="402"/>
      <c r="E34" s="403"/>
      <c r="F34" s="399"/>
      <c r="G34" s="403"/>
      <c r="H34" s="446"/>
      <c r="I34" s="416"/>
      <c r="J34" s="445"/>
      <c r="K34" s="406"/>
    </row>
    <row r="35" spans="1:11" x14ac:dyDescent="0.25">
      <c r="A35" s="328">
        <v>28</v>
      </c>
      <c r="B35" s="418" t="s">
        <v>26</v>
      </c>
      <c r="C35" s="419" t="s">
        <v>27</v>
      </c>
      <c r="D35" s="402"/>
      <c r="E35" s="403"/>
      <c r="F35" s="399"/>
      <c r="G35" s="403"/>
      <c r="H35" s="446"/>
      <c r="I35" s="416"/>
      <c r="J35" s="445"/>
      <c r="K35" s="406"/>
    </row>
    <row r="36" spans="1:11" x14ac:dyDescent="0.25">
      <c r="A36" s="328">
        <v>29</v>
      </c>
      <c r="B36" s="415" t="s">
        <v>98</v>
      </c>
      <c r="C36" s="419" t="s">
        <v>99</v>
      </c>
      <c r="D36" s="402"/>
      <c r="E36" s="403"/>
      <c r="F36" s="399"/>
      <c r="G36" s="403"/>
      <c r="H36" s="446"/>
      <c r="I36" s="416"/>
      <c r="J36" s="445"/>
      <c r="K36" s="406"/>
    </row>
    <row r="37" spans="1:11" x14ac:dyDescent="0.25">
      <c r="A37" s="328">
        <v>30</v>
      </c>
      <c r="B37" s="418" t="s">
        <v>100</v>
      </c>
      <c r="C37" s="419" t="s">
        <v>101</v>
      </c>
      <c r="D37" s="402">
        <v>3750</v>
      </c>
      <c r="E37" s="403"/>
      <c r="F37" s="399">
        <f t="shared" si="1"/>
        <v>3750</v>
      </c>
      <c r="G37" s="403">
        <v>625</v>
      </c>
      <c r="H37" s="446"/>
      <c r="I37" s="416"/>
      <c r="J37" s="445"/>
      <c r="K37" s="406"/>
    </row>
    <row r="38" spans="1:11" x14ac:dyDescent="0.25">
      <c r="A38" s="328">
        <v>31</v>
      </c>
      <c r="B38" s="404" t="s">
        <v>102</v>
      </c>
      <c r="C38" s="419" t="s">
        <v>103</v>
      </c>
      <c r="D38" s="402"/>
      <c r="E38" s="403"/>
      <c r="F38" s="399"/>
      <c r="G38" s="403"/>
      <c r="H38" s="446"/>
      <c r="I38" s="416"/>
      <c r="J38" s="445"/>
      <c r="K38" s="406"/>
    </row>
    <row r="39" spans="1:11" x14ac:dyDescent="0.25">
      <c r="A39" s="328">
        <v>32</v>
      </c>
      <c r="B39" s="418" t="s">
        <v>104</v>
      </c>
      <c r="C39" s="419" t="s">
        <v>105</v>
      </c>
      <c r="D39" s="402">
        <v>3750</v>
      </c>
      <c r="E39" s="403"/>
      <c r="F39" s="399">
        <f t="shared" si="1"/>
        <v>3750</v>
      </c>
      <c r="G39" s="403">
        <v>625</v>
      </c>
      <c r="H39" s="446"/>
      <c r="I39" s="416"/>
      <c r="J39" s="445"/>
      <c r="K39" s="406"/>
    </row>
    <row r="40" spans="1:11" x14ac:dyDescent="0.25">
      <c r="A40" s="328">
        <v>33</v>
      </c>
      <c r="B40" s="415" t="s">
        <v>106</v>
      </c>
      <c r="C40" s="419" t="s">
        <v>107</v>
      </c>
      <c r="D40" s="402">
        <v>11250</v>
      </c>
      <c r="E40" s="403"/>
      <c r="F40" s="399">
        <f t="shared" si="1"/>
        <v>11250</v>
      </c>
      <c r="G40" s="403">
        <v>1875</v>
      </c>
      <c r="H40" s="446"/>
      <c r="I40" s="416"/>
      <c r="J40" s="445"/>
      <c r="K40" s="406"/>
    </row>
    <row r="41" spans="1:11" x14ac:dyDescent="0.25">
      <c r="A41" s="328">
        <v>34</v>
      </c>
      <c r="B41" s="368" t="s">
        <v>108</v>
      </c>
      <c r="C41" s="327" t="s">
        <v>109</v>
      </c>
      <c r="D41" s="402">
        <v>3000</v>
      </c>
      <c r="E41" s="403"/>
      <c r="F41" s="399">
        <f t="shared" si="1"/>
        <v>3000</v>
      </c>
      <c r="G41" s="403">
        <v>500</v>
      </c>
      <c r="H41" s="446"/>
      <c r="I41" s="416"/>
      <c r="J41" s="445"/>
      <c r="K41" s="406"/>
    </row>
    <row r="42" spans="1:11" x14ac:dyDescent="0.25">
      <c r="A42" s="328">
        <v>35</v>
      </c>
      <c r="B42" s="415" t="s">
        <v>110</v>
      </c>
      <c r="C42" s="419" t="s">
        <v>111</v>
      </c>
      <c r="D42" s="402">
        <v>2700</v>
      </c>
      <c r="E42" s="403"/>
      <c r="F42" s="399">
        <f t="shared" si="1"/>
        <v>2700</v>
      </c>
      <c r="G42" s="403">
        <v>450</v>
      </c>
      <c r="H42" s="446"/>
      <c r="I42" s="416"/>
      <c r="J42" s="445"/>
      <c r="K42" s="406"/>
    </row>
    <row r="43" spans="1:11" x14ac:dyDescent="0.25">
      <c r="A43" s="328">
        <v>36</v>
      </c>
      <c r="B43" s="415" t="s">
        <v>112</v>
      </c>
      <c r="C43" s="419" t="s">
        <v>113</v>
      </c>
      <c r="D43" s="402">
        <v>5025</v>
      </c>
      <c r="E43" s="403"/>
      <c r="F43" s="399">
        <f t="shared" si="1"/>
        <v>5025</v>
      </c>
      <c r="G43" s="403">
        <v>838</v>
      </c>
      <c r="H43" s="446"/>
      <c r="I43" s="416"/>
      <c r="J43" s="445"/>
      <c r="K43" s="406"/>
    </row>
    <row r="44" spans="1:11" x14ac:dyDescent="0.25">
      <c r="A44" s="328">
        <v>37</v>
      </c>
      <c r="B44" s="404" t="s">
        <v>114</v>
      </c>
      <c r="C44" s="419" t="s">
        <v>115</v>
      </c>
      <c r="D44" s="402">
        <v>2819</v>
      </c>
      <c r="E44" s="403"/>
      <c r="F44" s="399">
        <f t="shared" si="1"/>
        <v>2819</v>
      </c>
      <c r="G44" s="403">
        <v>470</v>
      </c>
      <c r="H44" s="446"/>
      <c r="I44" s="416"/>
      <c r="J44" s="445"/>
      <c r="K44" s="406"/>
    </row>
    <row r="45" spans="1:11" x14ac:dyDescent="0.25">
      <c r="A45" s="328">
        <v>38</v>
      </c>
      <c r="B45" s="418" t="s">
        <v>116</v>
      </c>
      <c r="C45" s="419" t="s">
        <v>117</v>
      </c>
      <c r="D45" s="402"/>
      <c r="E45" s="403"/>
      <c r="F45" s="399"/>
      <c r="G45" s="403"/>
      <c r="H45" s="446"/>
      <c r="I45" s="416"/>
      <c r="J45" s="445"/>
      <c r="K45" s="406"/>
    </row>
    <row r="46" spans="1:11" x14ac:dyDescent="0.25">
      <c r="A46" s="328">
        <v>39</v>
      </c>
      <c r="B46" s="404" t="s">
        <v>28</v>
      </c>
      <c r="C46" s="419" t="s">
        <v>29</v>
      </c>
      <c r="D46" s="402"/>
      <c r="E46" s="403"/>
      <c r="F46" s="399"/>
      <c r="G46" s="403"/>
      <c r="H46" s="446"/>
      <c r="I46" s="416"/>
      <c r="J46" s="445"/>
      <c r="K46" s="406"/>
    </row>
    <row r="47" spans="1:11" x14ac:dyDescent="0.25">
      <c r="A47" s="328">
        <v>40</v>
      </c>
      <c r="B47" s="415" t="s">
        <v>118</v>
      </c>
      <c r="C47" s="419" t="s">
        <v>119</v>
      </c>
      <c r="D47" s="402">
        <v>3000</v>
      </c>
      <c r="E47" s="403"/>
      <c r="F47" s="399">
        <f t="shared" si="1"/>
        <v>3000</v>
      </c>
      <c r="G47" s="403">
        <v>500</v>
      </c>
      <c r="H47" s="446"/>
      <c r="I47" s="416"/>
      <c r="J47" s="445"/>
      <c r="K47" s="406"/>
    </row>
    <row r="48" spans="1:11" x14ac:dyDescent="0.25">
      <c r="A48" s="328">
        <v>41</v>
      </c>
      <c r="B48" s="415" t="s">
        <v>120</v>
      </c>
      <c r="C48" s="419" t="s">
        <v>121</v>
      </c>
      <c r="D48" s="402">
        <v>6000</v>
      </c>
      <c r="E48" s="403"/>
      <c r="F48" s="399">
        <f t="shared" si="1"/>
        <v>6000</v>
      </c>
      <c r="G48" s="403">
        <v>1000</v>
      </c>
      <c r="H48" s="446"/>
      <c r="I48" s="416"/>
      <c r="J48" s="445"/>
      <c r="K48" s="406"/>
    </row>
    <row r="49" spans="1:11" x14ac:dyDescent="0.25">
      <c r="A49" s="328">
        <v>42</v>
      </c>
      <c r="B49" s="404" t="s">
        <v>122</v>
      </c>
      <c r="C49" s="419" t="s">
        <v>123</v>
      </c>
      <c r="D49" s="402">
        <v>3375</v>
      </c>
      <c r="E49" s="403"/>
      <c r="F49" s="399">
        <f t="shared" si="1"/>
        <v>3375</v>
      </c>
      <c r="G49" s="403">
        <v>562</v>
      </c>
      <c r="H49" s="446"/>
      <c r="I49" s="416"/>
      <c r="J49" s="445"/>
      <c r="K49" s="406"/>
    </row>
    <row r="50" spans="1:11" x14ac:dyDescent="0.25">
      <c r="A50" s="328">
        <v>43</v>
      </c>
      <c r="B50" s="418" t="s">
        <v>124</v>
      </c>
      <c r="C50" s="419" t="s">
        <v>125</v>
      </c>
      <c r="D50" s="402">
        <v>3750</v>
      </c>
      <c r="E50" s="403"/>
      <c r="F50" s="399">
        <f t="shared" si="1"/>
        <v>3750</v>
      </c>
      <c r="G50" s="403">
        <v>625</v>
      </c>
      <c r="H50" s="446"/>
      <c r="I50" s="416"/>
      <c r="J50" s="445"/>
      <c r="K50" s="406"/>
    </row>
    <row r="51" spans="1:11" x14ac:dyDescent="0.25">
      <c r="A51" s="328">
        <v>87</v>
      </c>
      <c r="B51" s="404" t="s">
        <v>126</v>
      </c>
      <c r="C51" s="419" t="s">
        <v>127</v>
      </c>
      <c r="D51" s="402">
        <v>3750</v>
      </c>
      <c r="E51" s="403"/>
      <c r="F51" s="399">
        <f t="shared" si="1"/>
        <v>3750</v>
      </c>
      <c r="G51" s="403">
        <v>625</v>
      </c>
      <c r="H51" s="446"/>
      <c r="I51" s="416"/>
      <c r="J51" s="445"/>
      <c r="K51" s="406"/>
    </row>
    <row r="52" spans="1:11" x14ac:dyDescent="0.25">
      <c r="A52" s="328">
        <v>44</v>
      </c>
      <c r="B52" s="418" t="s">
        <v>128</v>
      </c>
      <c r="C52" s="419" t="s">
        <v>129</v>
      </c>
      <c r="D52" s="402">
        <v>5625</v>
      </c>
      <c r="E52" s="403"/>
      <c r="F52" s="399">
        <f t="shared" si="1"/>
        <v>5625</v>
      </c>
      <c r="G52" s="403">
        <v>938</v>
      </c>
      <c r="H52" s="446"/>
      <c r="I52" s="416"/>
      <c r="J52" s="445"/>
      <c r="K52" s="406"/>
    </row>
    <row r="53" spans="1:11" x14ac:dyDescent="0.25">
      <c r="A53" s="328">
        <v>45</v>
      </c>
      <c r="B53" s="404" t="s">
        <v>130</v>
      </c>
      <c r="C53" s="419" t="s">
        <v>131</v>
      </c>
      <c r="D53" s="402">
        <v>2250</v>
      </c>
      <c r="E53" s="403"/>
      <c r="F53" s="399">
        <f t="shared" si="1"/>
        <v>2250</v>
      </c>
      <c r="G53" s="403">
        <v>375</v>
      </c>
      <c r="H53" s="446"/>
      <c r="I53" s="416"/>
      <c r="J53" s="445"/>
      <c r="K53" s="406"/>
    </row>
    <row r="54" spans="1:11" x14ac:dyDescent="0.25">
      <c r="A54" s="328">
        <v>46</v>
      </c>
      <c r="B54" s="418" t="s">
        <v>132</v>
      </c>
      <c r="C54" s="419" t="s">
        <v>133</v>
      </c>
      <c r="D54" s="402">
        <v>3750</v>
      </c>
      <c r="E54" s="403"/>
      <c r="F54" s="399">
        <f t="shared" si="1"/>
        <v>3750</v>
      </c>
      <c r="G54" s="403">
        <v>625</v>
      </c>
      <c r="H54" s="446"/>
      <c r="I54" s="416"/>
      <c r="J54" s="445"/>
      <c r="K54" s="406"/>
    </row>
    <row r="55" spans="1:11" x14ac:dyDescent="0.25">
      <c r="A55" s="328">
        <v>47</v>
      </c>
      <c r="B55" s="404" t="s">
        <v>134</v>
      </c>
      <c r="C55" s="419" t="s">
        <v>135</v>
      </c>
      <c r="D55" s="402">
        <v>5850</v>
      </c>
      <c r="E55" s="403"/>
      <c r="F55" s="399">
        <f t="shared" si="1"/>
        <v>5850</v>
      </c>
      <c r="G55" s="403">
        <v>975</v>
      </c>
      <c r="H55" s="446"/>
      <c r="I55" s="416"/>
      <c r="J55" s="445"/>
      <c r="K55" s="406"/>
    </row>
    <row r="56" spans="1:11" x14ac:dyDescent="0.25">
      <c r="A56" s="328">
        <v>48</v>
      </c>
      <c r="B56" s="404" t="s">
        <v>136</v>
      </c>
      <c r="C56" s="419" t="s">
        <v>137</v>
      </c>
      <c r="D56" s="402">
        <v>11250</v>
      </c>
      <c r="E56" s="403"/>
      <c r="F56" s="399">
        <f t="shared" si="1"/>
        <v>11250</v>
      </c>
      <c r="G56" s="403">
        <v>1875</v>
      </c>
      <c r="H56" s="446"/>
      <c r="I56" s="416"/>
      <c r="J56" s="445"/>
      <c r="K56" s="406"/>
    </row>
    <row r="57" spans="1:11" x14ac:dyDescent="0.25">
      <c r="A57" s="328">
        <v>49</v>
      </c>
      <c r="B57" s="404" t="s">
        <v>138</v>
      </c>
      <c r="C57" s="419" t="s">
        <v>139</v>
      </c>
      <c r="D57" s="402">
        <v>4200</v>
      </c>
      <c r="E57" s="403"/>
      <c r="F57" s="399">
        <f t="shared" si="1"/>
        <v>4200</v>
      </c>
      <c r="G57" s="403">
        <v>700</v>
      </c>
      <c r="H57" s="446"/>
      <c r="I57" s="416"/>
      <c r="J57" s="445"/>
      <c r="K57" s="406"/>
    </row>
    <row r="58" spans="1:11" x14ac:dyDescent="0.25">
      <c r="A58" s="328">
        <v>95</v>
      </c>
      <c r="B58" s="404" t="s">
        <v>140</v>
      </c>
      <c r="C58" s="419" t="s">
        <v>141</v>
      </c>
      <c r="D58" s="402">
        <v>3075</v>
      </c>
      <c r="E58" s="403"/>
      <c r="F58" s="399">
        <f t="shared" si="1"/>
        <v>3075</v>
      </c>
      <c r="G58" s="403">
        <v>512</v>
      </c>
      <c r="H58" s="446"/>
      <c r="I58" s="416"/>
      <c r="J58" s="445"/>
      <c r="K58" s="406"/>
    </row>
    <row r="59" spans="1:11" x14ac:dyDescent="0.25">
      <c r="A59" s="328">
        <v>50</v>
      </c>
      <c r="B59" s="418" t="s">
        <v>142</v>
      </c>
      <c r="C59" s="419" t="s">
        <v>143</v>
      </c>
      <c r="D59" s="402">
        <v>3225</v>
      </c>
      <c r="E59" s="403"/>
      <c r="F59" s="399">
        <f t="shared" si="1"/>
        <v>3225</v>
      </c>
      <c r="G59" s="403">
        <v>538</v>
      </c>
      <c r="H59" s="446"/>
      <c r="I59" s="416"/>
      <c r="J59" s="445"/>
      <c r="K59" s="406"/>
    </row>
    <row r="60" spans="1:11" x14ac:dyDescent="0.25">
      <c r="A60" s="328">
        <v>97</v>
      </c>
      <c r="B60" s="404" t="s">
        <v>144</v>
      </c>
      <c r="C60" s="419" t="s">
        <v>145</v>
      </c>
      <c r="D60" s="402"/>
      <c r="E60" s="403"/>
      <c r="F60" s="399"/>
      <c r="G60" s="403"/>
      <c r="H60" s="446"/>
      <c r="I60" s="416"/>
      <c r="J60" s="445"/>
      <c r="K60" s="406"/>
    </row>
    <row r="61" spans="1:11" x14ac:dyDescent="0.25">
      <c r="A61" s="328">
        <v>51</v>
      </c>
      <c r="B61" s="404" t="s">
        <v>146</v>
      </c>
      <c r="C61" s="419" t="s">
        <v>147</v>
      </c>
      <c r="D61" s="402"/>
      <c r="E61" s="403"/>
      <c r="F61" s="399"/>
      <c r="G61" s="403"/>
      <c r="H61" s="446"/>
      <c r="I61" s="416"/>
      <c r="J61" s="445"/>
      <c r="K61" s="406"/>
    </row>
    <row r="62" spans="1:11" x14ac:dyDescent="0.25">
      <c r="A62" s="328">
        <v>52</v>
      </c>
      <c r="B62" s="404" t="s">
        <v>148</v>
      </c>
      <c r="C62" s="419" t="s">
        <v>149</v>
      </c>
      <c r="D62" s="402"/>
      <c r="E62" s="403"/>
      <c r="F62" s="399"/>
      <c r="G62" s="403"/>
      <c r="H62" s="446"/>
      <c r="I62" s="416"/>
      <c r="J62" s="445"/>
      <c r="K62" s="406"/>
    </row>
    <row r="63" spans="1:11" x14ac:dyDescent="0.25">
      <c r="A63" s="328">
        <v>53</v>
      </c>
      <c r="B63" s="418" t="s">
        <v>150</v>
      </c>
      <c r="C63" s="419" t="s">
        <v>151</v>
      </c>
      <c r="D63" s="402"/>
      <c r="E63" s="403"/>
      <c r="F63" s="399"/>
      <c r="G63" s="403"/>
      <c r="H63" s="446"/>
      <c r="I63" s="416"/>
      <c r="J63" s="445"/>
      <c r="K63" s="406"/>
    </row>
    <row r="64" spans="1:11" x14ac:dyDescent="0.25">
      <c r="A64" s="328">
        <v>54</v>
      </c>
      <c r="B64" s="415" t="s">
        <v>152</v>
      </c>
      <c r="C64" s="419" t="s">
        <v>153</v>
      </c>
      <c r="D64" s="402"/>
      <c r="E64" s="403"/>
      <c r="F64" s="399"/>
      <c r="G64" s="403"/>
      <c r="H64" s="446"/>
      <c r="I64" s="416"/>
      <c r="J64" s="445"/>
      <c r="K64" s="406"/>
    </row>
    <row r="65" spans="1:11" x14ac:dyDescent="0.25">
      <c r="A65" s="328">
        <v>55</v>
      </c>
      <c r="B65" s="418" t="s">
        <v>154</v>
      </c>
      <c r="C65" s="419" t="s">
        <v>155</v>
      </c>
      <c r="D65" s="402"/>
      <c r="E65" s="403"/>
      <c r="F65" s="399"/>
      <c r="G65" s="403"/>
      <c r="H65" s="446"/>
      <c r="I65" s="416"/>
      <c r="J65" s="445"/>
      <c r="K65" s="406"/>
    </row>
    <row r="66" spans="1:11" x14ac:dyDescent="0.25">
      <c r="A66" s="328">
        <v>56</v>
      </c>
      <c r="B66" s="404" t="s">
        <v>156</v>
      </c>
      <c r="C66" s="419" t="s">
        <v>157</v>
      </c>
      <c r="D66" s="402"/>
      <c r="E66" s="403"/>
      <c r="F66" s="399"/>
      <c r="G66" s="403"/>
      <c r="H66" s="446"/>
      <c r="I66" s="416"/>
      <c r="J66" s="445"/>
      <c r="K66" s="406"/>
    </row>
    <row r="67" spans="1:11" ht="25.5" x14ac:dyDescent="0.25">
      <c r="A67" s="328">
        <v>57</v>
      </c>
      <c r="B67" s="415" t="s">
        <v>158</v>
      </c>
      <c r="C67" s="419" t="s">
        <v>159</v>
      </c>
      <c r="D67" s="402"/>
      <c r="E67" s="403"/>
      <c r="F67" s="399"/>
      <c r="G67" s="403"/>
      <c r="H67" s="446"/>
      <c r="I67" s="416"/>
      <c r="J67" s="445"/>
      <c r="K67" s="406"/>
    </row>
    <row r="68" spans="1:11" ht="25.5" x14ac:dyDescent="0.25">
      <c r="A68" s="328">
        <v>58</v>
      </c>
      <c r="B68" s="415" t="s">
        <v>160</v>
      </c>
      <c r="C68" s="419" t="s">
        <v>161</v>
      </c>
      <c r="D68" s="402"/>
      <c r="E68" s="403"/>
      <c r="F68" s="399"/>
      <c r="G68" s="403"/>
      <c r="H68" s="446"/>
      <c r="I68" s="416"/>
      <c r="J68" s="445"/>
      <c r="K68" s="406"/>
    </row>
    <row r="69" spans="1:11" x14ac:dyDescent="0.25">
      <c r="A69" s="328">
        <v>59</v>
      </c>
      <c r="B69" s="418" t="s">
        <v>162</v>
      </c>
      <c r="C69" s="419" t="s">
        <v>163</v>
      </c>
      <c r="D69" s="402"/>
      <c r="E69" s="403"/>
      <c r="F69" s="399"/>
      <c r="G69" s="403"/>
      <c r="H69" s="446"/>
      <c r="I69" s="416"/>
      <c r="J69" s="445"/>
      <c r="K69" s="406"/>
    </row>
    <row r="70" spans="1:11" x14ac:dyDescent="0.25">
      <c r="A70" s="328">
        <v>60</v>
      </c>
      <c r="B70" s="418" t="s">
        <v>164</v>
      </c>
      <c r="C70" s="419" t="s">
        <v>165</v>
      </c>
      <c r="D70" s="402"/>
      <c r="E70" s="403"/>
      <c r="F70" s="399"/>
      <c r="G70" s="403"/>
      <c r="H70" s="446"/>
      <c r="I70" s="416"/>
      <c r="J70" s="445"/>
      <c r="K70" s="406"/>
    </row>
    <row r="71" spans="1:11" x14ac:dyDescent="0.25">
      <c r="A71" s="328">
        <v>61</v>
      </c>
      <c r="B71" s="418" t="s">
        <v>166</v>
      </c>
      <c r="C71" s="419" t="s">
        <v>167</v>
      </c>
      <c r="D71" s="402"/>
      <c r="E71" s="403"/>
      <c r="F71" s="399"/>
      <c r="G71" s="403"/>
      <c r="H71" s="446"/>
      <c r="I71" s="416"/>
      <c r="J71" s="445"/>
      <c r="K71" s="406"/>
    </row>
    <row r="72" spans="1:11" ht="25.5" x14ac:dyDescent="0.25">
      <c r="A72" s="328">
        <v>62</v>
      </c>
      <c r="B72" s="418" t="s">
        <v>168</v>
      </c>
      <c r="C72" s="419" t="s">
        <v>169</v>
      </c>
      <c r="D72" s="402"/>
      <c r="E72" s="403"/>
      <c r="F72" s="399"/>
      <c r="G72" s="403"/>
      <c r="H72" s="446"/>
      <c r="I72" s="416"/>
      <c r="J72" s="445"/>
      <c r="K72" s="406"/>
    </row>
    <row r="73" spans="1:11" ht="25.5" x14ac:dyDescent="0.25">
      <c r="A73" s="328">
        <v>63</v>
      </c>
      <c r="B73" s="415" t="s">
        <v>170</v>
      </c>
      <c r="C73" s="419" t="s">
        <v>171</v>
      </c>
      <c r="D73" s="402"/>
      <c r="E73" s="403"/>
      <c r="F73" s="399"/>
      <c r="G73" s="403"/>
      <c r="H73" s="446"/>
      <c r="I73" s="416"/>
      <c r="J73" s="445"/>
      <c r="K73" s="406"/>
    </row>
    <row r="74" spans="1:11" ht="25.5" x14ac:dyDescent="0.25">
      <c r="A74" s="328">
        <v>64</v>
      </c>
      <c r="B74" s="418" t="s">
        <v>172</v>
      </c>
      <c r="C74" s="419" t="s">
        <v>173</v>
      </c>
      <c r="D74" s="402"/>
      <c r="E74" s="403"/>
      <c r="F74" s="399"/>
      <c r="G74" s="403"/>
      <c r="H74" s="446"/>
      <c r="I74" s="416"/>
      <c r="J74" s="445"/>
      <c r="K74" s="406"/>
    </row>
    <row r="75" spans="1:11" ht="25.5" x14ac:dyDescent="0.25">
      <c r="A75" s="328">
        <v>65</v>
      </c>
      <c r="B75" s="418" t="s">
        <v>174</v>
      </c>
      <c r="C75" s="419" t="s">
        <v>175</v>
      </c>
      <c r="D75" s="402"/>
      <c r="E75" s="403"/>
      <c r="F75" s="399"/>
      <c r="G75" s="403"/>
      <c r="H75" s="446"/>
      <c r="I75" s="416"/>
      <c r="J75" s="445"/>
      <c r="K75" s="406"/>
    </row>
    <row r="76" spans="1:11" ht="25.5" x14ac:dyDescent="0.25">
      <c r="A76" s="328">
        <v>66</v>
      </c>
      <c r="B76" s="415" t="s">
        <v>176</v>
      </c>
      <c r="C76" s="419" t="s">
        <v>177</v>
      </c>
      <c r="D76" s="402"/>
      <c r="E76" s="403"/>
      <c r="F76" s="399"/>
      <c r="G76" s="403"/>
      <c r="H76" s="446"/>
      <c r="I76" s="416"/>
      <c r="J76" s="445"/>
      <c r="K76" s="406"/>
    </row>
    <row r="77" spans="1:11" ht="25.5" x14ac:dyDescent="0.25">
      <c r="A77" s="328">
        <v>67</v>
      </c>
      <c r="B77" s="415" t="s">
        <v>178</v>
      </c>
      <c r="C77" s="419" t="s">
        <v>179</v>
      </c>
      <c r="D77" s="402"/>
      <c r="E77" s="403"/>
      <c r="F77" s="399"/>
      <c r="G77" s="403"/>
      <c r="H77" s="446"/>
      <c r="I77" s="416"/>
      <c r="J77" s="445"/>
      <c r="K77" s="406"/>
    </row>
    <row r="78" spans="1:11" ht="25.5" x14ac:dyDescent="0.25">
      <c r="A78" s="328">
        <v>68</v>
      </c>
      <c r="B78" s="415" t="s">
        <v>180</v>
      </c>
      <c r="C78" s="419" t="s">
        <v>181</v>
      </c>
      <c r="D78" s="402"/>
      <c r="E78" s="403"/>
      <c r="F78" s="399"/>
      <c r="G78" s="403"/>
      <c r="H78" s="446"/>
      <c r="I78" s="416"/>
      <c r="J78" s="445"/>
      <c r="K78" s="406"/>
    </row>
    <row r="79" spans="1:11" x14ac:dyDescent="0.25">
      <c r="A79" s="328">
        <v>69</v>
      </c>
      <c r="B79" s="404" t="s">
        <v>182</v>
      </c>
      <c r="C79" s="419" t="s">
        <v>183</v>
      </c>
      <c r="D79" s="402"/>
      <c r="E79" s="403"/>
      <c r="F79" s="399"/>
      <c r="G79" s="403"/>
      <c r="H79" s="446"/>
      <c r="I79" s="416"/>
      <c r="J79" s="445"/>
      <c r="K79" s="406"/>
    </row>
    <row r="80" spans="1:11" x14ac:dyDescent="0.25">
      <c r="A80" s="328">
        <v>70</v>
      </c>
      <c r="B80" s="415" t="s">
        <v>184</v>
      </c>
      <c r="C80" s="419" t="s">
        <v>185</v>
      </c>
      <c r="D80" s="402"/>
      <c r="E80" s="403"/>
      <c r="F80" s="399"/>
      <c r="G80" s="403"/>
      <c r="H80" s="446"/>
      <c r="I80" s="416"/>
      <c r="J80" s="445"/>
      <c r="K80" s="406"/>
    </row>
    <row r="81" spans="1:11" x14ac:dyDescent="0.25">
      <c r="A81" s="328">
        <v>71</v>
      </c>
      <c r="B81" s="404" t="s">
        <v>186</v>
      </c>
      <c r="C81" s="419" t="s">
        <v>187</v>
      </c>
      <c r="D81" s="402"/>
      <c r="E81" s="403"/>
      <c r="F81" s="399"/>
      <c r="G81" s="403"/>
      <c r="H81" s="446"/>
      <c r="I81" s="416"/>
      <c r="J81" s="445"/>
      <c r="K81" s="406"/>
    </row>
    <row r="82" spans="1:11" x14ac:dyDescent="0.25">
      <c r="A82" s="328">
        <v>72</v>
      </c>
      <c r="B82" s="415" t="s">
        <v>188</v>
      </c>
      <c r="C82" s="419" t="s">
        <v>459</v>
      </c>
      <c r="D82" s="402"/>
      <c r="E82" s="403"/>
      <c r="F82" s="399"/>
      <c r="G82" s="403"/>
      <c r="H82" s="446"/>
      <c r="I82" s="416"/>
      <c r="J82" s="445"/>
      <c r="K82" s="406"/>
    </row>
    <row r="83" spans="1:11" x14ac:dyDescent="0.25">
      <c r="A83" s="328">
        <v>73</v>
      </c>
      <c r="B83" s="415" t="s">
        <v>190</v>
      </c>
      <c r="C83" s="419" t="s">
        <v>191</v>
      </c>
      <c r="D83" s="402"/>
      <c r="E83" s="403"/>
      <c r="F83" s="399"/>
      <c r="G83" s="403"/>
      <c r="H83" s="446"/>
      <c r="I83" s="416"/>
      <c r="J83" s="445"/>
      <c r="K83" s="406"/>
    </row>
    <row r="84" spans="1:11" x14ac:dyDescent="0.25">
      <c r="A84" s="328">
        <v>74</v>
      </c>
      <c r="B84" s="415" t="s">
        <v>192</v>
      </c>
      <c r="C84" s="419" t="s">
        <v>193</v>
      </c>
      <c r="D84" s="402"/>
      <c r="E84" s="403"/>
      <c r="F84" s="399"/>
      <c r="G84" s="403"/>
      <c r="H84" s="446"/>
      <c r="I84" s="416"/>
      <c r="J84" s="445"/>
      <c r="K84" s="406"/>
    </row>
    <row r="85" spans="1:11" x14ac:dyDescent="0.25">
      <c r="A85" s="328">
        <v>75</v>
      </c>
      <c r="B85" s="415" t="s">
        <v>194</v>
      </c>
      <c r="C85" s="419" t="s">
        <v>195</v>
      </c>
      <c r="D85" s="402"/>
      <c r="E85" s="403"/>
      <c r="F85" s="399"/>
      <c r="G85" s="403"/>
      <c r="H85" s="446"/>
      <c r="I85" s="416"/>
      <c r="J85" s="445"/>
      <c r="K85" s="406"/>
    </row>
    <row r="86" spans="1:11" x14ac:dyDescent="0.25">
      <c r="A86" s="328">
        <v>76</v>
      </c>
      <c r="B86" s="415" t="s">
        <v>196</v>
      </c>
      <c r="C86" s="419" t="s">
        <v>197</v>
      </c>
      <c r="D86" s="402"/>
      <c r="E86" s="403"/>
      <c r="F86" s="399"/>
      <c r="G86" s="403"/>
      <c r="H86" s="446"/>
      <c r="I86" s="416"/>
      <c r="J86" s="445"/>
      <c r="K86" s="406"/>
    </row>
    <row r="87" spans="1:11" x14ac:dyDescent="0.25">
      <c r="A87" s="328">
        <v>77</v>
      </c>
      <c r="B87" s="418" t="s">
        <v>30</v>
      </c>
      <c r="C87" s="419" t="s">
        <v>198</v>
      </c>
      <c r="D87" s="402"/>
      <c r="E87" s="403"/>
      <c r="F87" s="399"/>
      <c r="G87" s="403"/>
      <c r="H87" s="446"/>
      <c r="I87" s="416"/>
      <c r="J87" s="445"/>
      <c r="K87" s="406"/>
    </row>
    <row r="88" spans="1:11" ht="25.5" x14ac:dyDescent="0.25">
      <c r="A88" s="1218">
        <v>78</v>
      </c>
      <c r="B88" s="1330" t="s">
        <v>199</v>
      </c>
      <c r="C88" s="447" t="s">
        <v>200</v>
      </c>
      <c r="D88" s="402"/>
      <c r="E88" s="403"/>
      <c r="F88" s="399"/>
      <c r="G88" s="403"/>
      <c r="H88" s="446"/>
      <c r="I88" s="416"/>
      <c r="J88" s="445"/>
      <c r="K88" s="406"/>
    </row>
    <row r="89" spans="1:11" ht="38.25" x14ac:dyDescent="0.25">
      <c r="A89" s="1346"/>
      <c r="B89" s="1331"/>
      <c r="C89" s="419" t="s">
        <v>201</v>
      </c>
      <c r="D89" s="402"/>
      <c r="E89" s="403"/>
      <c r="F89" s="399"/>
      <c r="G89" s="403"/>
      <c r="H89" s="446"/>
      <c r="I89" s="416"/>
      <c r="J89" s="445"/>
      <c r="K89" s="406"/>
    </row>
    <row r="90" spans="1:11" ht="25.5" x14ac:dyDescent="0.25">
      <c r="A90" s="1346"/>
      <c r="B90" s="1331"/>
      <c r="C90" s="419" t="s">
        <v>202</v>
      </c>
      <c r="D90" s="402"/>
      <c r="E90" s="403"/>
      <c r="F90" s="399"/>
      <c r="G90" s="403"/>
      <c r="H90" s="446"/>
      <c r="I90" s="416"/>
      <c r="J90" s="445"/>
      <c r="K90" s="406"/>
    </row>
    <row r="91" spans="1:11" ht="38.25" x14ac:dyDescent="0.25">
      <c r="A91" s="1347"/>
      <c r="B91" s="1332"/>
      <c r="C91" s="371" t="s">
        <v>203</v>
      </c>
      <c r="D91" s="402"/>
      <c r="E91" s="403"/>
      <c r="F91" s="399"/>
      <c r="G91" s="403"/>
      <c r="H91" s="446"/>
      <c r="I91" s="416"/>
      <c r="J91" s="445"/>
      <c r="K91" s="406"/>
    </row>
    <row r="92" spans="1:11" ht="25.5" x14ac:dyDescent="0.25">
      <c r="A92" s="372">
        <v>79</v>
      </c>
      <c r="B92" s="418" t="s">
        <v>204</v>
      </c>
      <c r="C92" s="419" t="s">
        <v>205</v>
      </c>
      <c r="D92" s="402"/>
      <c r="E92" s="403"/>
      <c r="F92" s="399"/>
      <c r="G92" s="403"/>
      <c r="H92" s="446"/>
      <c r="I92" s="416"/>
      <c r="J92" s="445"/>
      <c r="K92" s="406"/>
    </row>
    <row r="93" spans="1:11" x14ac:dyDescent="0.25">
      <c r="A93" s="328">
        <v>80</v>
      </c>
      <c r="B93" s="418" t="s">
        <v>206</v>
      </c>
      <c r="C93" s="419" t="s">
        <v>207</v>
      </c>
      <c r="D93" s="402"/>
      <c r="E93" s="403"/>
      <c r="F93" s="399"/>
      <c r="G93" s="403"/>
      <c r="H93" s="446"/>
      <c r="I93" s="416"/>
      <c r="J93" s="445"/>
      <c r="K93" s="406"/>
    </row>
    <row r="94" spans="1:11" x14ac:dyDescent="0.25">
      <c r="A94" s="328">
        <v>81</v>
      </c>
      <c r="B94" s="404" t="s">
        <v>208</v>
      </c>
      <c r="C94" s="419" t="s">
        <v>209</v>
      </c>
      <c r="D94" s="402"/>
      <c r="E94" s="403"/>
      <c r="F94" s="399"/>
      <c r="G94" s="403"/>
      <c r="H94" s="446"/>
      <c r="I94" s="416"/>
      <c r="J94" s="445"/>
      <c r="K94" s="406"/>
    </row>
    <row r="95" spans="1:11" x14ac:dyDescent="0.25">
      <c r="A95" s="328">
        <v>82</v>
      </c>
      <c r="B95" s="418" t="s">
        <v>210</v>
      </c>
      <c r="C95" s="419" t="s">
        <v>211</v>
      </c>
      <c r="D95" s="402">
        <v>2475</v>
      </c>
      <c r="E95" s="403"/>
      <c r="F95" s="399">
        <f t="shared" ref="F95:F135" si="2">D95+E95</f>
        <v>2475</v>
      </c>
      <c r="G95" s="403">
        <v>413</v>
      </c>
      <c r="H95" s="446"/>
      <c r="I95" s="416"/>
      <c r="J95" s="445"/>
      <c r="K95" s="406"/>
    </row>
    <row r="96" spans="1:11" x14ac:dyDescent="0.25">
      <c r="A96" s="328">
        <v>83</v>
      </c>
      <c r="B96" s="404" t="s">
        <v>212</v>
      </c>
      <c r="C96" s="419" t="s">
        <v>213</v>
      </c>
      <c r="D96" s="402">
        <v>3375</v>
      </c>
      <c r="E96" s="403"/>
      <c r="F96" s="399">
        <f t="shared" si="2"/>
        <v>3375</v>
      </c>
      <c r="G96" s="403">
        <v>562</v>
      </c>
      <c r="H96" s="446"/>
      <c r="I96" s="416"/>
      <c r="J96" s="445"/>
      <c r="K96" s="406"/>
    </row>
    <row r="97" spans="1:11" x14ac:dyDescent="0.25">
      <c r="A97" s="328">
        <v>84</v>
      </c>
      <c r="B97" s="404" t="s">
        <v>214</v>
      </c>
      <c r="C97" s="419" t="s">
        <v>215</v>
      </c>
      <c r="D97" s="402">
        <v>6450</v>
      </c>
      <c r="E97" s="403"/>
      <c r="F97" s="399">
        <f t="shared" si="2"/>
        <v>6450</v>
      </c>
      <c r="G97" s="403">
        <v>1075</v>
      </c>
      <c r="H97" s="446"/>
      <c r="I97" s="416"/>
      <c r="J97" s="445"/>
      <c r="K97" s="406"/>
    </row>
    <row r="98" spans="1:11" x14ac:dyDescent="0.25">
      <c r="A98" s="328">
        <v>85</v>
      </c>
      <c r="B98" s="418" t="s">
        <v>216</v>
      </c>
      <c r="C98" s="419" t="s">
        <v>217</v>
      </c>
      <c r="D98" s="402">
        <v>3375</v>
      </c>
      <c r="E98" s="403"/>
      <c r="F98" s="399">
        <f t="shared" si="2"/>
        <v>3375</v>
      </c>
      <c r="G98" s="403">
        <v>562</v>
      </c>
      <c r="H98" s="446"/>
      <c r="I98" s="416"/>
      <c r="J98" s="445"/>
      <c r="K98" s="406"/>
    </row>
    <row r="99" spans="1:11" x14ac:dyDescent="0.25">
      <c r="A99" s="328">
        <v>86</v>
      </c>
      <c r="B99" s="415" t="s">
        <v>218</v>
      </c>
      <c r="C99" s="419" t="s">
        <v>219</v>
      </c>
      <c r="D99" s="402">
        <v>6125</v>
      </c>
      <c r="E99" s="403"/>
      <c r="F99" s="399">
        <f t="shared" si="2"/>
        <v>6125</v>
      </c>
      <c r="G99" s="403">
        <v>1028</v>
      </c>
      <c r="H99" s="446"/>
      <c r="I99" s="416"/>
      <c r="J99" s="445"/>
      <c r="K99" s="406"/>
    </row>
    <row r="100" spans="1:11" x14ac:dyDescent="0.25">
      <c r="A100" s="328">
        <v>88</v>
      </c>
      <c r="B100" s="415" t="s">
        <v>220</v>
      </c>
      <c r="C100" s="419" t="s">
        <v>221</v>
      </c>
      <c r="D100" s="402">
        <v>4125</v>
      </c>
      <c r="E100" s="403"/>
      <c r="F100" s="399">
        <f t="shared" si="2"/>
        <v>4125</v>
      </c>
      <c r="G100" s="403">
        <v>687</v>
      </c>
      <c r="H100" s="446"/>
      <c r="I100" s="416"/>
      <c r="J100" s="445"/>
      <c r="K100" s="406"/>
    </row>
    <row r="101" spans="1:11" x14ac:dyDescent="0.25">
      <c r="A101" s="328">
        <v>89</v>
      </c>
      <c r="B101" s="404" t="s">
        <v>222</v>
      </c>
      <c r="C101" s="419" t="s">
        <v>223</v>
      </c>
      <c r="D101" s="402">
        <v>2250</v>
      </c>
      <c r="E101" s="403"/>
      <c r="F101" s="399">
        <f t="shared" si="2"/>
        <v>2250</v>
      </c>
      <c r="G101" s="403">
        <v>375</v>
      </c>
      <c r="H101" s="446"/>
      <c r="I101" s="416"/>
      <c r="J101" s="445"/>
      <c r="K101" s="406"/>
    </row>
    <row r="102" spans="1:11" x14ac:dyDescent="0.25">
      <c r="A102" s="328">
        <v>90</v>
      </c>
      <c r="B102" s="415" t="s">
        <v>224</v>
      </c>
      <c r="C102" s="419" t="s">
        <v>225</v>
      </c>
      <c r="D102" s="402">
        <v>3000</v>
      </c>
      <c r="E102" s="403"/>
      <c r="F102" s="399">
        <f t="shared" si="2"/>
        <v>3000</v>
      </c>
      <c r="G102" s="403">
        <v>500</v>
      </c>
      <c r="H102" s="446"/>
      <c r="I102" s="416"/>
      <c r="J102" s="445"/>
      <c r="K102" s="406"/>
    </row>
    <row r="103" spans="1:11" x14ac:dyDescent="0.25">
      <c r="A103" s="328">
        <v>91</v>
      </c>
      <c r="B103" s="415" t="s">
        <v>226</v>
      </c>
      <c r="C103" s="419" t="s">
        <v>227</v>
      </c>
      <c r="D103" s="402">
        <v>3000</v>
      </c>
      <c r="E103" s="403"/>
      <c r="F103" s="399">
        <f t="shared" si="2"/>
        <v>3000</v>
      </c>
      <c r="G103" s="403">
        <v>500</v>
      </c>
      <c r="H103" s="446"/>
      <c r="I103" s="416"/>
      <c r="J103" s="445"/>
      <c r="K103" s="406"/>
    </row>
    <row r="104" spans="1:11" x14ac:dyDescent="0.25">
      <c r="A104" s="328">
        <v>92</v>
      </c>
      <c r="B104" s="418" t="s">
        <v>32</v>
      </c>
      <c r="C104" s="419" t="s">
        <v>33</v>
      </c>
      <c r="D104" s="402">
        <v>3750</v>
      </c>
      <c r="E104" s="403"/>
      <c r="F104" s="399">
        <f t="shared" si="2"/>
        <v>3750</v>
      </c>
      <c r="G104" s="403">
        <v>625</v>
      </c>
      <c r="H104" s="446"/>
      <c r="I104" s="416"/>
      <c r="J104" s="445"/>
      <c r="K104" s="406"/>
    </row>
    <row r="105" spans="1:11" x14ac:dyDescent="0.25">
      <c r="A105" s="328">
        <v>93</v>
      </c>
      <c r="B105" s="404" t="s">
        <v>228</v>
      </c>
      <c r="C105" s="419" t="s">
        <v>229</v>
      </c>
      <c r="D105" s="402">
        <v>2850</v>
      </c>
      <c r="E105" s="403"/>
      <c r="F105" s="399">
        <f t="shared" si="2"/>
        <v>2850</v>
      </c>
      <c r="G105" s="403">
        <v>475</v>
      </c>
      <c r="H105" s="446"/>
      <c r="I105" s="416"/>
      <c r="J105" s="445"/>
      <c r="K105" s="406"/>
    </row>
    <row r="106" spans="1:11" x14ac:dyDescent="0.25">
      <c r="A106" s="328">
        <v>94</v>
      </c>
      <c r="B106" s="415" t="s">
        <v>230</v>
      </c>
      <c r="C106" s="419" t="s">
        <v>231</v>
      </c>
      <c r="D106" s="402">
        <v>6750</v>
      </c>
      <c r="E106" s="403"/>
      <c r="F106" s="399">
        <f t="shared" si="2"/>
        <v>6750</v>
      </c>
      <c r="G106" s="403">
        <v>1125</v>
      </c>
      <c r="H106" s="446"/>
      <c r="I106" s="416"/>
      <c r="J106" s="445"/>
      <c r="K106" s="406"/>
    </row>
    <row r="107" spans="1:11" x14ac:dyDescent="0.25">
      <c r="A107" s="328">
        <v>96</v>
      </c>
      <c r="B107" s="415" t="s">
        <v>232</v>
      </c>
      <c r="C107" s="419" t="s">
        <v>233</v>
      </c>
      <c r="D107" s="402"/>
      <c r="E107" s="403"/>
      <c r="F107" s="399"/>
      <c r="G107" s="403"/>
      <c r="H107" s="446"/>
      <c r="I107" s="416"/>
      <c r="J107" s="445"/>
      <c r="K107" s="406"/>
    </row>
    <row r="108" spans="1:11" x14ac:dyDescent="0.25">
      <c r="A108" s="328">
        <v>98</v>
      </c>
      <c r="B108" s="415" t="s">
        <v>234</v>
      </c>
      <c r="C108" s="419" t="s">
        <v>235</v>
      </c>
      <c r="D108" s="402"/>
      <c r="E108" s="403"/>
      <c r="F108" s="399"/>
      <c r="G108" s="403"/>
      <c r="H108" s="446"/>
      <c r="I108" s="416"/>
      <c r="J108" s="445"/>
      <c r="K108" s="406"/>
    </row>
    <row r="109" spans="1:11" x14ac:dyDescent="0.25">
      <c r="A109" s="328">
        <v>99</v>
      </c>
      <c r="B109" s="404" t="s">
        <v>236</v>
      </c>
      <c r="C109" s="419" t="s">
        <v>237</v>
      </c>
      <c r="D109" s="402"/>
      <c r="E109" s="403"/>
      <c r="F109" s="399"/>
      <c r="G109" s="403"/>
      <c r="H109" s="446"/>
      <c r="I109" s="416"/>
      <c r="J109" s="445"/>
      <c r="K109" s="406"/>
    </row>
    <row r="110" spans="1:11" x14ac:dyDescent="0.25">
      <c r="A110" s="328">
        <v>100</v>
      </c>
      <c r="B110" s="404" t="s">
        <v>238</v>
      </c>
      <c r="C110" s="419" t="s">
        <v>239</v>
      </c>
      <c r="D110" s="402"/>
      <c r="E110" s="403"/>
      <c r="F110" s="399"/>
      <c r="G110" s="403"/>
      <c r="H110" s="446"/>
      <c r="I110" s="416"/>
      <c r="J110" s="445"/>
      <c r="K110" s="406"/>
    </row>
    <row r="111" spans="1:11" x14ac:dyDescent="0.25">
      <c r="A111" s="328">
        <v>101</v>
      </c>
      <c r="B111" s="404" t="s">
        <v>240</v>
      </c>
      <c r="C111" s="419" t="s">
        <v>241</v>
      </c>
      <c r="D111" s="402"/>
      <c r="E111" s="403"/>
      <c r="F111" s="399"/>
      <c r="G111" s="403"/>
      <c r="H111" s="446"/>
      <c r="I111" s="416"/>
      <c r="J111" s="445"/>
      <c r="K111" s="406"/>
    </row>
    <row r="112" spans="1:11" x14ac:dyDescent="0.25">
      <c r="A112" s="328">
        <v>102</v>
      </c>
      <c r="B112" s="404" t="s">
        <v>242</v>
      </c>
      <c r="C112" s="419" t="s">
        <v>243</v>
      </c>
      <c r="D112" s="402"/>
      <c r="E112" s="403"/>
      <c r="F112" s="399"/>
      <c r="G112" s="403"/>
      <c r="H112" s="446"/>
      <c r="I112" s="416"/>
      <c r="J112" s="445"/>
      <c r="K112" s="406"/>
    </row>
    <row r="113" spans="1:11" x14ac:dyDescent="0.25">
      <c r="A113" s="328">
        <v>103</v>
      </c>
      <c r="B113" s="404" t="s">
        <v>244</v>
      </c>
      <c r="C113" s="419" t="s">
        <v>245</v>
      </c>
      <c r="D113" s="402"/>
      <c r="E113" s="403"/>
      <c r="F113" s="399"/>
      <c r="G113" s="403"/>
      <c r="H113" s="446"/>
      <c r="I113" s="416"/>
      <c r="J113" s="445"/>
      <c r="K113" s="406"/>
    </row>
    <row r="114" spans="1:11" x14ac:dyDescent="0.25">
      <c r="A114" s="328">
        <v>104</v>
      </c>
      <c r="B114" s="373" t="s">
        <v>246</v>
      </c>
      <c r="C114" s="327" t="s">
        <v>247</v>
      </c>
      <c r="D114" s="402"/>
      <c r="E114" s="403"/>
      <c r="F114" s="399"/>
      <c r="G114" s="403"/>
      <c r="H114" s="446"/>
      <c r="I114" s="416"/>
      <c r="J114" s="445"/>
      <c r="K114" s="406"/>
    </row>
    <row r="115" spans="1:11" x14ac:dyDescent="0.25">
      <c r="A115" s="328">
        <v>105</v>
      </c>
      <c r="B115" s="418" t="s">
        <v>248</v>
      </c>
      <c r="C115" s="419" t="s">
        <v>249</v>
      </c>
      <c r="D115" s="402"/>
      <c r="E115" s="403"/>
      <c r="F115" s="399"/>
      <c r="G115" s="403"/>
      <c r="H115" s="446"/>
      <c r="I115" s="416"/>
      <c r="J115" s="445"/>
      <c r="K115" s="406"/>
    </row>
    <row r="116" spans="1:11" x14ac:dyDescent="0.25">
      <c r="A116" s="328">
        <v>106</v>
      </c>
      <c r="B116" s="404" t="s">
        <v>250</v>
      </c>
      <c r="C116" s="419" t="s">
        <v>251</v>
      </c>
      <c r="D116" s="402"/>
      <c r="E116" s="403"/>
      <c r="F116" s="399"/>
      <c r="G116" s="403"/>
      <c r="H116" s="446"/>
      <c r="I116" s="416"/>
      <c r="J116" s="445"/>
      <c r="K116" s="406"/>
    </row>
    <row r="117" spans="1:11" x14ac:dyDescent="0.25">
      <c r="A117" s="328">
        <v>107</v>
      </c>
      <c r="B117" s="415" t="s">
        <v>252</v>
      </c>
      <c r="C117" s="448" t="s">
        <v>253</v>
      </c>
      <c r="D117" s="402"/>
      <c r="E117" s="403"/>
      <c r="F117" s="399"/>
      <c r="G117" s="403"/>
      <c r="H117" s="446"/>
      <c r="I117" s="416"/>
      <c r="J117" s="445"/>
      <c r="K117" s="406"/>
    </row>
    <row r="118" spans="1:11" x14ac:dyDescent="0.25">
      <c r="A118" s="328">
        <v>108</v>
      </c>
      <c r="B118" s="404" t="s">
        <v>254</v>
      </c>
      <c r="C118" s="419" t="s">
        <v>255</v>
      </c>
      <c r="D118" s="402"/>
      <c r="E118" s="403"/>
      <c r="F118" s="399"/>
      <c r="G118" s="403"/>
      <c r="H118" s="446"/>
      <c r="I118" s="416"/>
      <c r="J118" s="445"/>
      <c r="K118" s="406"/>
    </row>
    <row r="119" spans="1:11" x14ac:dyDescent="0.25">
      <c r="A119" s="328">
        <v>109</v>
      </c>
      <c r="B119" s="418" t="s">
        <v>256</v>
      </c>
      <c r="C119" s="419" t="s">
        <v>257</v>
      </c>
      <c r="D119" s="402"/>
      <c r="E119" s="403"/>
      <c r="F119" s="399"/>
      <c r="G119" s="403"/>
      <c r="H119" s="446"/>
      <c r="I119" s="416"/>
      <c r="J119" s="445"/>
      <c r="K119" s="406"/>
    </row>
    <row r="120" spans="1:11" x14ac:dyDescent="0.25">
      <c r="A120" s="328">
        <v>110</v>
      </c>
      <c r="B120" s="415" t="s">
        <v>258</v>
      </c>
      <c r="C120" s="419" t="s">
        <v>259</v>
      </c>
      <c r="D120" s="402"/>
      <c r="E120" s="403"/>
      <c r="F120" s="399"/>
      <c r="G120" s="403"/>
      <c r="H120" s="446"/>
      <c r="I120" s="416"/>
      <c r="J120" s="445"/>
      <c r="K120" s="406"/>
    </row>
    <row r="121" spans="1:11" x14ac:dyDescent="0.25">
      <c r="A121" s="328">
        <v>111</v>
      </c>
      <c r="B121" s="404" t="s">
        <v>542</v>
      </c>
      <c r="C121" s="378" t="s">
        <v>543</v>
      </c>
      <c r="D121" s="402"/>
      <c r="E121" s="403"/>
      <c r="F121" s="399"/>
      <c r="G121" s="403"/>
      <c r="H121" s="446"/>
      <c r="I121" s="416"/>
      <c r="J121" s="445"/>
      <c r="K121" s="406"/>
    </row>
    <row r="122" spans="1:11" x14ac:dyDescent="0.25">
      <c r="A122" s="328">
        <v>112</v>
      </c>
      <c r="B122" s="418" t="s">
        <v>260</v>
      </c>
      <c r="C122" s="419" t="s">
        <v>261</v>
      </c>
      <c r="D122" s="402"/>
      <c r="E122" s="403"/>
      <c r="F122" s="399"/>
      <c r="G122" s="403"/>
      <c r="H122" s="446"/>
      <c r="I122" s="416"/>
      <c r="J122" s="445"/>
      <c r="K122" s="406"/>
    </row>
    <row r="123" spans="1:11" x14ac:dyDescent="0.25">
      <c r="A123" s="328">
        <v>113</v>
      </c>
      <c r="B123" s="404" t="s">
        <v>262</v>
      </c>
      <c r="C123" s="419" t="s">
        <v>263</v>
      </c>
      <c r="D123" s="402"/>
      <c r="E123" s="403"/>
      <c r="F123" s="399"/>
      <c r="G123" s="403"/>
      <c r="H123" s="446"/>
      <c r="I123" s="416"/>
      <c r="J123" s="445"/>
      <c r="K123" s="406"/>
    </row>
    <row r="124" spans="1:11" ht="25.5" x14ac:dyDescent="0.25">
      <c r="A124" s="328">
        <v>114</v>
      </c>
      <c r="B124" s="404" t="s">
        <v>264</v>
      </c>
      <c r="C124" s="449" t="s">
        <v>265</v>
      </c>
      <c r="D124" s="402"/>
      <c r="E124" s="403"/>
      <c r="F124" s="399"/>
      <c r="G124" s="403"/>
      <c r="H124" s="446"/>
      <c r="I124" s="416"/>
      <c r="J124" s="445"/>
      <c r="K124" s="406"/>
    </row>
    <row r="125" spans="1:11" x14ac:dyDescent="0.25">
      <c r="A125" s="328">
        <v>115</v>
      </c>
      <c r="B125" s="404" t="s">
        <v>266</v>
      </c>
      <c r="C125" s="419" t="s">
        <v>267</v>
      </c>
      <c r="D125" s="402"/>
      <c r="E125" s="403"/>
      <c r="F125" s="399"/>
      <c r="G125" s="403"/>
      <c r="H125" s="446"/>
      <c r="I125" s="416"/>
      <c r="J125" s="445"/>
      <c r="K125" s="406"/>
    </row>
    <row r="126" spans="1:11" x14ac:dyDescent="0.25">
      <c r="A126" s="328">
        <v>116</v>
      </c>
      <c r="B126" s="404" t="s">
        <v>268</v>
      </c>
      <c r="C126" s="419" t="s">
        <v>269</v>
      </c>
      <c r="D126" s="402"/>
      <c r="E126" s="403"/>
      <c r="F126" s="399"/>
      <c r="G126" s="403"/>
      <c r="H126" s="446"/>
      <c r="I126" s="416"/>
      <c r="J126" s="445"/>
      <c r="K126" s="406"/>
    </row>
    <row r="127" spans="1:11" x14ac:dyDescent="0.25">
      <c r="A127" s="328">
        <v>117</v>
      </c>
      <c r="B127" s="404" t="s">
        <v>270</v>
      </c>
      <c r="C127" s="419" t="s">
        <v>271</v>
      </c>
      <c r="D127" s="402"/>
      <c r="E127" s="403"/>
      <c r="F127" s="399"/>
      <c r="G127" s="403"/>
      <c r="H127" s="446"/>
      <c r="I127" s="416"/>
      <c r="J127" s="445"/>
      <c r="K127" s="406"/>
    </row>
    <row r="128" spans="1:11" x14ac:dyDescent="0.25">
      <c r="A128" s="328">
        <v>118</v>
      </c>
      <c r="B128" s="415" t="s">
        <v>272</v>
      </c>
      <c r="C128" s="419" t="s">
        <v>273</v>
      </c>
      <c r="D128" s="402"/>
      <c r="E128" s="403"/>
      <c r="F128" s="399"/>
      <c r="G128" s="403"/>
      <c r="H128" s="446"/>
      <c r="I128" s="416"/>
      <c r="J128" s="445"/>
      <c r="K128" s="406"/>
    </row>
    <row r="129" spans="1:11" x14ac:dyDescent="0.25">
      <c r="A129" s="328">
        <v>119</v>
      </c>
      <c r="B129" s="415" t="s">
        <v>274</v>
      </c>
      <c r="C129" s="419" t="s">
        <v>275</v>
      </c>
      <c r="D129" s="402"/>
      <c r="E129" s="403"/>
      <c r="F129" s="399"/>
      <c r="G129" s="403"/>
      <c r="H129" s="446"/>
      <c r="I129" s="416"/>
      <c r="J129" s="445"/>
      <c r="K129" s="406"/>
    </row>
    <row r="130" spans="1:11" x14ac:dyDescent="0.25">
      <c r="A130" s="328">
        <v>120</v>
      </c>
      <c r="B130" s="415" t="s">
        <v>276</v>
      </c>
      <c r="C130" s="419" t="s">
        <v>277</v>
      </c>
      <c r="D130" s="402"/>
      <c r="E130" s="403"/>
      <c r="F130" s="399"/>
      <c r="G130" s="403"/>
      <c r="H130" s="446"/>
      <c r="I130" s="416"/>
      <c r="J130" s="445"/>
      <c r="K130" s="406"/>
    </row>
    <row r="131" spans="1:11" x14ac:dyDescent="0.25">
      <c r="A131" s="328">
        <v>121</v>
      </c>
      <c r="B131" s="404" t="s">
        <v>278</v>
      </c>
      <c r="C131" s="419" t="s">
        <v>279</v>
      </c>
      <c r="D131" s="402"/>
      <c r="E131" s="403"/>
      <c r="F131" s="399"/>
      <c r="G131" s="403"/>
      <c r="H131" s="446"/>
      <c r="I131" s="416"/>
      <c r="J131" s="445"/>
      <c r="K131" s="406"/>
    </row>
    <row r="132" spans="1:11" x14ac:dyDescent="0.25">
      <c r="A132" s="328">
        <v>122</v>
      </c>
      <c r="B132" s="404" t="s">
        <v>280</v>
      </c>
      <c r="C132" s="419" t="s">
        <v>281</v>
      </c>
      <c r="D132" s="402"/>
      <c r="E132" s="403"/>
      <c r="F132" s="399"/>
      <c r="G132" s="403"/>
      <c r="H132" s="446"/>
      <c r="I132" s="416"/>
      <c r="J132" s="445"/>
      <c r="K132" s="406"/>
    </row>
    <row r="133" spans="1:11" x14ac:dyDescent="0.25">
      <c r="A133" s="328">
        <v>123</v>
      </c>
      <c r="B133" s="404" t="s">
        <v>282</v>
      </c>
      <c r="C133" s="419" t="s">
        <v>768</v>
      </c>
      <c r="D133" s="402"/>
      <c r="E133" s="403"/>
      <c r="F133" s="399"/>
      <c r="G133" s="403"/>
      <c r="H133" s="446"/>
      <c r="I133" s="416"/>
      <c r="J133" s="445"/>
      <c r="K133" s="406"/>
    </row>
    <row r="134" spans="1:11" x14ac:dyDescent="0.25">
      <c r="A134" s="328">
        <v>124</v>
      </c>
      <c r="B134" s="415" t="s">
        <v>283</v>
      </c>
      <c r="C134" s="419" t="s">
        <v>284</v>
      </c>
      <c r="D134" s="402"/>
      <c r="E134" s="403"/>
      <c r="F134" s="399"/>
      <c r="G134" s="403"/>
      <c r="H134" s="446"/>
      <c r="I134" s="416"/>
      <c r="J134" s="445"/>
      <c r="K134" s="406"/>
    </row>
    <row r="135" spans="1:11" ht="27" customHeight="1" x14ac:dyDescent="0.25">
      <c r="A135" s="328">
        <v>125</v>
      </c>
      <c r="B135" s="418" t="s">
        <v>285</v>
      </c>
      <c r="C135" s="419" t="s">
        <v>726</v>
      </c>
      <c r="D135" s="402">
        <v>4080</v>
      </c>
      <c r="E135" s="403"/>
      <c r="F135" s="399">
        <f t="shared" si="2"/>
        <v>4080</v>
      </c>
      <c r="G135" s="403">
        <v>684</v>
      </c>
      <c r="H135" s="446"/>
      <c r="I135" s="416"/>
      <c r="J135" s="445"/>
      <c r="K135" s="406"/>
    </row>
    <row r="136" spans="1:11" x14ac:dyDescent="0.25">
      <c r="A136" s="328">
        <v>126</v>
      </c>
      <c r="B136" s="404" t="s">
        <v>286</v>
      </c>
      <c r="C136" s="419" t="s">
        <v>287</v>
      </c>
      <c r="D136" s="402"/>
      <c r="E136" s="403"/>
      <c r="F136" s="399"/>
      <c r="G136" s="403"/>
      <c r="H136" s="446"/>
      <c r="I136" s="416"/>
      <c r="J136" s="445"/>
      <c r="K136" s="406"/>
    </row>
    <row r="137" spans="1:11" x14ac:dyDescent="0.25">
      <c r="A137" s="328">
        <v>127</v>
      </c>
      <c r="B137" s="415" t="s">
        <v>288</v>
      </c>
      <c r="C137" s="419" t="s">
        <v>289</v>
      </c>
      <c r="D137" s="402"/>
      <c r="E137" s="403"/>
      <c r="F137" s="399"/>
      <c r="G137" s="403"/>
      <c r="H137" s="446"/>
      <c r="I137" s="416"/>
      <c r="J137" s="445"/>
      <c r="K137" s="406"/>
    </row>
    <row r="138" spans="1:11" x14ac:dyDescent="0.25">
      <c r="A138" s="328">
        <v>128</v>
      </c>
      <c r="B138" s="404" t="s">
        <v>290</v>
      </c>
      <c r="C138" s="419" t="s">
        <v>291</v>
      </c>
      <c r="D138" s="402"/>
      <c r="E138" s="403"/>
      <c r="F138" s="399"/>
      <c r="G138" s="403"/>
      <c r="H138" s="446"/>
      <c r="I138" s="416"/>
      <c r="J138" s="445"/>
      <c r="K138" s="406"/>
    </row>
    <row r="139" spans="1:11" x14ac:dyDescent="0.25">
      <c r="A139" s="328">
        <v>129</v>
      </c>
      <c r="B139" s="420" t="s">
        <v>292</v>
      </c>
      <c r="C139" s="381" t="s">
        <v>293</v>
      </c>
      <c r="D139" s="402"/>
      <c r="E139" s="403"/>
      <c r="F139" s="399"/>
      <c r="G139" s="406"/>
      <c r="H139" s="444"/>
      <c r="I139" s="416"/>
      <c r="J139" s="445"/>
      <c r="K139" s="406"/>
    </row>
    <row r="140" spans="1:11" x14ac:dyDescent="0.25">
      <c r="A140" s="328">
        <v>130</v>
      </c>
      <c r="B140" s="421" t="s">
        <v>294</v>
      </c>
      <c r="C140" s="381" t="s">
        <v>295</v>
      </c>
      <c r="D140" s="402"/>
      <c r="E140" s="403"/>
      <c r="F140" s="399"/>
      <c r="G140" s="406"/>
      <c r="H140" s="444"/>
      <c r="I140" s="416"/>
      <c r="J140" s="445"/>
      <c r="K140" s="406"/>
    </row>
    <row r="141" spans="1:11" x14ac:dyDescent="0.25">
      <c r="A141" s="328">
        <v>131</v>
      </c>
      <c r="B141" s="438" t="s">
        <v>296</v>
      </c>
      <c r="C141" s="450" t="s">
        <v>460</v>
      </c>
      <c r="D141" s="402">
        <v>422615</v>
      </c>
      <c r="E141" s="403">
        <v>99924</v>
      </c>
      <c r="F141" s="399">
        <f t="shared" ref="F141" si="3">D141+E141</f>
        <v>522539</v>
      </c>
      <c r="G141" s="406">
        <v>152406</v>
      </c>
      <c r="H141" s="405">
        <v>5657</v>
      </c>
      <c r="I141" s="416">
        <v>525590</v>
      </c>
      <c r="J141" s="402">
        <v>799</v>
      </c>
      <c r="K141" s="406">
        <v>41540</v>
      </c>
    </row>
    <row r="142" spans="1:11" x14ac:dyDescent="0.25">
      <c r="A142" s="328">
        <v>132</v>
      </c>
      <c r="B142" s="385" t="s">
        <v>298</v>
      </c>
      <c r="C142" s="422" t="s">
        <v>299</v>
      </c>
      <c r="D142" s="402"/>
      <c r="E142" s="403"/>
      <c r="F142" s="399"/>
      <c r="G142" s="406"/>
      <c r="H142" s="444"/>
      <c r="I142" s="416"/>
      <c r="J142" s="445"/>
      <c r="K142" s="406"/>
    </row>
    <row r="143" spans="1:11" x14ac:dyDescent="0.25">
      <c r="A143" s="328">
        <v>133</v>
      </c>
      <c r="B143" s="326" t="s">
        <v>300</v>
      </c>
      <c r="C143" s="422" t="s">
        <v>301</v>
      </c>
      <c r="D143" s="402"/>
      <c r="E143" s="403"/>
      <c r="F143" s="399"/>
      <c r="G143" s="406"/>
      <c r="H143" s="444"/>
      <c r="I143" s="416"/>
      <c r="J143" s="445"/>
      <c r="K143" s="406"/>
    </row>
    <row r="144" spans="1:11" x14ac:dyDescent="0.25">
      <c r="A144" s="328">
        <v>134</v>
      </c>
      <c r="B144" s="326" t="s">
        <v>302</v>
      </c>
      <c r="C144" s="422" t="s">
        <v>303</v>
      </c>
      <c r="D144" s="402"/>
      <c r="E144" s="403"/>
      <c r="F144" s="399"/>
      <c r="G144" s="406"/>
      <c r="H144" s="444"/>
      <c r="I144" s="416"/>
      <c r="J144" s="445"/>
      <c r="K144" s="406"/>
    </row>
    <row r="145" spans="1:11" ht="15.75" thickBot="1" x14ac:dyDescent="0.3">
      <c r="A145" s="323">
        <v>135</v>
      </c>
      <c r="B145" s="324" t="s">
        <v>304</v>
      </c>
      <c r="C145" s="325" t="s">
        <v>305</v>
      </c>
      <c r="D145" s="423"/>
      <c r="E145" s="407"/>
      <c r="F145" s="408"/>
      <c r="G145" s="409"/>
      <c r="H145" s="451"/>
      <c r="I145" s="409"/>
      <c r="J145" s="452"/>
      <c r="K145" s="409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zoomScaleNormal="100" workbookViewId="0">
      <pane xSplit="3" ySplit="4" topLeftCell="D137" activePane="bottomRight" state="frozen"/>
      <selection pane="topRight" activeCell="D1" sqref="D1"/>
      <selection pane="bottomLeft" activeCell="A6" sqref="A6"/>
      <selection pane="bottomRight" activeCell="I151" sqref="I151"/>
    </sheetView>
  </sheetViews>
  <sheetFormatPr defaultRowHeight="12" x14ac:dyDescent="0.25"/>
  <cols>
    <col min="1" max="1" width="4" style="497" customWidth="1"/>
    <col min="2" max="2" width="9.28515625" style="497" customWidth="1"/>
    <col min="3" max="3" width="31" style="498" customWidth="1"/>
    <col min="4" max="4" width="13.140625" style="497" customWidth="1"/>
    <col min="5" max="5" width="12.42578125" style="497" customWidth="1"/>
    <col min="6" max="6" width="10.140625" style="497" customWidth="1"/>
    <col min="7" max="7" width="9.28515625" style="497" customWidth="1"/>
    <col min="8" max="8" width="11.28515625" style="497" customWidth="1"/>
    <col min="9" max="9" width="12.85546875" style="497" customWidth="1"/>
    <col min="10" max="10" width="12.140625" style="497" customWidth="1"/>
    <col min="11" max="11" width="10.7109375" style="497" customWidth="1"/>
    <col min="12" max="12" width="12" style="497" customWidth="1"/>
    <col min="13" max="16384" width="9.140625" style="474"/>
  </cols>
  <sheetData>
    <row r="1" spans="1:13" s="268" customFormat="1" ht="20.25" customHeight="1" x14ac:dyDescent="0.25">
      <c r="A1" s="862" t="s">
        <v>642</v>
      </c>
      <c r="B1" s="862"/>
      <c r="C1" s="862"/>
      <c r="D1" s="862"/>
      <c r="E1" s="862"/>
      <c r="F1" s="862"/>
      <c r="G1" s="862"/>
      <c r="H1" s="862"/>
      <c r="I1" s="862"/>
      <c r="J1" s="862"/>
      <c r="K1" s="862"/>
      <c r="L1" s="862"/>
    </row>
    <row r="2" spans="1:13" s="475" customFormat="1" ht="13.5" customHeight="1" x14ac:dyDescent="0.25">
      <c r="A2" s="471"/>
      <c r="B2" s="471"/>
      <c r="C2" s="471"/>
      <c r="D2" s="472"/>
      <c r="E2" s="471"/>
      <c r="F2" s="471"/>
      <c r="G2" s="471"/>
      <c r="H2" s="473"/>
      <c r="I2" s="473"/>
      <c r="J2" s="473"/>
      <c r="K2" s="473"/>
      <c r="L2" s="473"/>
      <c r="M2" s="474"/>
    </row>
    <row r="3" spans="1:13" s="475" customFormat="1" ht="13.5" customHeight="1" x14ac:dyDescent="0.25">
      <c r="A3" s="863" t="s">
        <v>0</v>
      </c>
      <c r="B3" s="863" t="s">
        <v>1</v>
      </c>
      <c r="C3" s="863" t="s">
        <v>2</v>
      </c>
      <c r="D3" s="863" t="s">
        <v>723</v>
      </c>
      <c r="E3" s="863" t="s">
        <v>724</v>
      </c>
      <c r="F3" s="865" t="s">
        <v>447</v>
      </c>
      <c r="G3" s="865"/>
      <c r="H3" s="865"/>
      <c r="I3" s="865"/>
      <c r="J3" s="865"/>
      <c r="K3" s="866" t="s">
        <v>643</v>
      </c>
      <c r="L3" s="866" t="s">
        <v>644</v>
      </c>
      <c r="M3" s="474"/>
    </row>
    <row r="4" spans="1:13" s="477" customFormat="1" ht="70.5" customHeight="1" x14ac:dyDescent="0.25">
      <c r="A4" s="864"/>
      <c r="B4" s="864"/>
      <c r="C4" s="864"/>
      <c r="D4" s="864"/>
      <c r="E4" s="864"/>
      <c r="F4" s="804" t="s">
        <v>645</v>
      </c>
      <c r="G4" s="804" t="s">
        <v>646</v>
      </c>
      <c r="H4" s="804" t="s">
        <v>764</v>
      </c>
      <c r="I4" s="804" t="s">
        <v>721</v>
      </c>
      <c r="J4" s="804" t="s">
        <v>722</v>
      </c>
      <c r="K4" s="867"/>
      <c r="L4" s="867"/>
      <c r="M4" s="476"/>
    </row>
    <row r="5" spans="1:13" s="475" customFormat="1" ht="12" customHeight="1" x14ac:dyDescent="0.25">
      <c r="A5" s="470">
        <v>1</v>
      </c>
      <c r="B5" s="269" t="s">
        <v>54</v>
      </c>
      <c r="C5" s="478" t="s">
        <v>55</v>
      </c>
      <c r="D5" s="479">
        <f>E5+K5+L5</f>
        <v>757</v>
      </c>
      <c r="E5" s="479">
        <f>758-1</f>
        <v>757</v>
      </c>
      <c r="F5" s="470"/>
      <c r="G5" s="470"/>
      <c r="H5" s="470"/>
      <c r="I5" s="470"/>
      <c r="J5" s="470"/>
      <c r="K5" s="470"/>
      <c r="L5" s="470"/>
      <c r="M5" s="474"/>
    </row>
    <row r="6" spans="1:13" s="475" customFormat="1" x14ac:dyDescent="0.25">
      <c r="A6" s="470">
        <v>2</v>
      </c>
      <c r="B6" s="269" t="s">
        <v>56</v>
      </c>
      <c r="C6" s="480" t="s">
        <v>57</v>
      </c>
      <c r="D6" s="479">
        <f t="shared" ref="D6:D68" si="0">E6+K6+L6</f>
        <v>756</v>
      </c>
      <c r="E6" s="479">
        <f>763-2-5</f>
        <v>756</v>
      </c>
      <c r="F6" s="470"/>
      <c r="G6" s="470"/>
      <c r="H6" s="470"/>
      <c r="I6" s="470"/>
      <c r="J6" s="470"/>
      <c r="K6" s="470"/>
      <c r="L6" s="470"/>
      <c r="M6" s="474"/>
    </row>
    <row r="7" spans="1:13" s="475" customFormat="1" x14ac:dyDescent="0.25">
      <c r="A7" s="470">
        <v>3</v>
      </c>
      <c r="B7" s="481" t="s">
        <v>16</v>
      </c>
      <c r="C7" s="482" t="s">
        <v>17</v>
      </c>
      <c r="D7" s="479">
        <f t="shared" si="0"/>
        <v>2649</v>
      </c>
      <c r="E7" s="479">
        <f>2481-1-1</f>
        <v>2479</v>
      </c>
      <c r="F7" s="470"/>
      <c r="G7" s="470"/>
      <c r="H7" s="470"/>
      <c r="I7" s="470"/>
      <c r="J7" s="470">
        <v>25</v>
      </c>
      <c r="K7" s="470"/>
      <c r="L7" s="470">
        <v>170</v>
      </c>
      <c r="M7" s="474"/>
    </row>
    <row r="8" spans="1:13" s="475" customFormat="1" ht="11.25" customHeight="1" x14ac:dyDescent="0.25">
      <c r="A8" s="470">
        <v>4</v>
      </c>
      <c r="B8" s="269" t="s">
        <v>58</v>
      </c>
      <c r="C8" s="480" t="s">
        <v>59</v>
      </c>
      <c r="D8" s="479">
        <f t="shared" si="0"/>
        <v>798</v>
      </c>
      <c r="E8" s="479">
        <v>798</v>
      </c>
      <c r="F8" s="470"/>
      <c r="G8" s="470"/>
      <c r="H8" s="470"/>
      <c r="I8" s="470"/>
      <c r="J8" s="470"/>
      <c r="K8" s="470"/>
      <c r="L8" s="470"/>
      <c r="M8" s="474"/>
    </row>
    <row r="9" spans="1:13" s="475" customFormat="1" ht="12.75" customHeight="1" x14ac:dyDescent="0.25">
      <c r="A9" s="470">
        <v>5</v>
      </c>
      <c r="B9" s="269" t="s">
        <v>60</v>
      </c>
      <c r="C9" s="480" t="s">
        <v>61</v>
      </c>
      <c r="D9" s="479">
        <f t="shared" si="0"/>
        <v>907</v>
      </c>
      <c r="E9" s="479">
        <f>909-1-1</f>
        <v>907</v>
      </c>
      <c r="F9" s="470"/>
      <c r="G9" s="470"/>
      <c r="H9" s="470"/>
      <c r="I9" s="470"/>
      <c r="J9" s="470"/>
      <c r="K9" s="470"/>
      <c r="L9" s="470"/>
      <c r="M9" s="474"/>
    </row>
    <row r="10" spans="1:13" s="475" customFormat="1" x14ac:dyDescent="0.25">
      <c r="A10" s="470">
        <v>6</v>
      </c>
      <c r="B10" s="481" t="s">
        <v>18</v>
      </c>
      <c r="C10" s="482" t="s">
        <v>19</v>
      </c>
      <c r="D10" s="479">
        <f t="shared" si="0"/>
        <v>8123</v>
      </c>
      <c r="E10" s="479">
        <f>7167+675-8-3</f>
        <v>7831</v>
      </c>
      <c r="F10" s="470"/>
      <c r="G10" s="470"/>
      <c r="H10" s="470">
        <f>0+675</f>
        <v>675</v>
      </c>
      <c r="I10" s="470"/>
      <c r="J10" s="470">
        <v>60</v>
      </c>
      <c r="K10" s="470"/>
      <c r="L10" s="470">
        <v>292</v>
      </c>
      <c r="M10" s="474"/>
    </row>
    <row r="11" spans="1:13" s="475" customFormat="1" x14ac:dyDescent="0.25">
      <c r="A11" s="470">
        <v>7</v>
      </c>
      <c r="B11" s="483" t="s">
        <v>62</v>
      </c>
      <c r="C11" s="484" t="s">
        <v>63</v>
      </c>
      <c r="D11" s="479">
        <f t="shared" si="0"/>
        <v>2685</v>
      </c>
      <c r="E11" s="479">
        <f>2393-2-4-2</f>
        <v>2385</v>
      </c>
      <c r="F11" s="470"/>
      <c r="G11" s="470"/>
      <c r="H11" s="470"/>
      <c r="I11" s="470"/>
      <c r="J11" s="470"/>
      <c r="K11" s="470"/>
      <c r="L11" s="470">
        <v>300</v>
      </c>
      <c r="M11" s="474"/>
    </row>
    <row r="12" spans="1:13" s="475" customFormat="1" x14ac:dyDescent="0.25">
      <c r="A12" s="470">
        <v>8</v>
      </c>
      <c r="B12" s="481" t="s">
        <v>64</v>
      </c>
      <c r="C12" s="482" t="s">
        <v>65</v>
      </c>
      <c r="D12" s="479">
        <f t="shared" si="0"/>
        <v>958</v>
      </c>
      <c r="E12" s="479">
        <v>958</v>
      </c>
      <c r="F12" s="470"/>
      <c r="G12" s="470"/>
      <c r="H12" s="470"/>
      <c r="I12" s="470"/>
      <c r="J12" s="470"/>
      <c r="K12" s="470"/>
      <c r="L12" s="470"/>
      <c r="M12" s="474"/>
    </row>
    <row r="13" spans="1:13" s="475" customFormat="1" x14ac:dyDescent="0.25">
      <c r="A13" s="470">
        <v>9</v>
      </c>
      <c r="B13" s="481" t="s">
        <v>66</v>
      </c>
      <c r="C13" s="482" t="s">
        <v>67</v>
      </c>
      <c r="D13" s="479">
        <f t="shared" si="0"/>
        <v>847</v>
      </c>
      <c r="E13" s="479">
        <v>847</v>
      </c>
      <c r="F13" s="470"/>
      <c r="G13" s="470"/>
      <c r="H13" s="470"/>
      <c r="I13" s="470"/>
      <c r="J13" s="470"/>
      <c r="K13" s="470"/>
      <c r="L13" s="470"/>
      <c r="M13" s="474"/>
    </row>
    <row r="14" spans="1:13" s="475" customFormat="1" x14ac:dyDescent="0.25">
      <c r="A14" s="470">
        <v>10</v>
      </c>
      <c r="B14" s="481" t="s">
        <v>68</v>
      </c>
      <c r="C14" s="482" t="s">
        <v>69</v>
      </c>
      <c r="D14" s="479">
        <f t="shared" si="0"/>
        <v>1147</v>
      </c>
      <c r="E14" s="479">
        <f>1157-10</f>
        <v>1147</v>
      </c>
      <c r="F14" s="470"/>
      <c r="G14" s="470"/>
      <c r="H14" s="470"/>
      <c r="I14" s="470"/>
      <c r="J14" s="470"/>
      <c r="K14" s="470"/>
      <c r="L14" s="470"/>
      <c r="M14" s="474"/>
    </row>
    <row r="15" spans="1:13" s="475" customFormat="1" x14ac:dyDescent="0.25">
      <c r="A15" s="470">
        <v>11</v>
      </c>
      <c r="B15" s="481" t="s">
        <v>70</v>
      </c>
      <c r="C15" s="482" t="s">
        <v>71</v>
      </c>
      <c r="D15" s="479">
        <f t="shared" si="0"/>
        <v>864</v>
      </c>
      <c r="E15" s="479">
        <v>864</v>
      </c>
      <c r="F15" s="470"/>
      <c r="G15" s="470"/>
      <c r="H15" s="470"/>
      <c r="I15" s="470"/>
      <c r="J15" s="470"/>
      <c r="K15" s="470"/>
      <c r="L15" s="470"/>
      <c r="M15" s="474"/>
    </row>
    <row r="16" spans="1:13" s="475" customFormat="1" x14ac:dyDescent="0.25">
      <c r="A16" s="470">
        <v>12</v>
      </c>
      <c r="B16" s="481" t="s">
        <v>72</v>
      </c>
      <c r="C16" s="482" t="s">
        <v>73</v>
      </c>
      <c r="D16" s="479">
        <f t="shared" si="0"/>
        <v>1777</v>
      </c>
      <c r="E16" s="479">
        <f>1781-2-1-1</f>
        <v>1777</v>
      </c>
      <c r="F16" s="470"/>
      <c r="G16" s="470"/>
      <c r="H16" s="470"/>
      <c r="I16" s="470"/>
      <c r="J16" s="470"/>
      <c r="K16" s="470"/>
      <c r="L16" s="470"/>
      <c r="M16" s="474"/>
    </row>
    <row r="17" spans="1:13" s="475" customFormat="1" x14ac:dyDescent="0.25">
      <c r="A17" s="470">
        <v>13</v>
      </c>
      <c r="B17" s="520" t="s">
        <v>74</v>
      </c>
      <c r="C17" s="521" t="s">
        <v>75</v>
      </c>
      <c r="D17" s="479">
        <f t="shared" si="0"/>
        <v>0</v>
      </c>
      <c r="E17" s="479"/>
      <c r="F17" s="470"/>
      <c r="G17" s="470"/>
      <c r="H17" s="470"/>
      <c r="I17" s="470"/>
      <c r="J17" s="470"/>
      <c r="K17" s="470"/>
      <c r="L17" s="470"/>
      <c r="M17" s="474"/>
    </row>
    <row r="18" spans="1:13" s="475" customFormat="1" x14ac:dyDescent="0.25">
      <c r="A18" s="470">
        <v>14</v>
      </c>
      <c r="B18" s="481" t="s">
        <v>76</v>
      </c>
      <c r="C18" s="482" t="s">
        <v>77</v>
      </c>
      <c r="D18" s="479">
        <f t="shared" si="0"/>
        <v>1692</v>
      </c>
      <c r="E18" s="479">
        <f>1142+550</f>
        <v>1692</v>
      </c>
      <c r="F18" s="470"/>
      <c r="G18" s="470"/>
      <c r="H18" s="470">
        <f>0+550</f>
        <v>550</v>
      </c>
      <c r="I18" s="470"/>
      <c r="J18" s="470"/>
      <c r="K18" s="470"/>
      <c r="L18" s="470"/>
      <c r="M18" s="474"/>
    </row>
    <row r="19" spans="1:13" s="475" customFormat="1" x14ac:dyDescent="0.25">
      <c r="A19" s="470">
        <v>15</v>
      </c>
      <c r="B19" s="481" t="s">
        <v>78</v>
      </c>
      <c r="C19" s="482" t="s">
        <v>79</v>
      </c>
      <c r="D19" s="479">
        <f t="shared" si="0"/>
        <v>1742</v>
      </c>
      <c r="E19" s="479">
        <v>1742</v>
      </c>
      <c r="F19" s="470"/>
      <c r="G19" s="470"/>
      <c r="H19" s="470"/>
      <c r="I19" s="470"/>
      <c r="J19" s="470"/>
      <c r="K19" s="470"/>
      <c r="L19" s="470"/>
      <c r="M19" s="474"/>
    </row>
    <row r="20" spans="1:13" s="475" customFormat="1" x14ac:dyDescent="0.25">
      <c r="A20" s="470">
        <v>16</v>
      </c>
      <c r="B20" s="481" t="s">
        <v>80</v>
      </c>
      <c r="C20" s="482" t="s">
        <v>81</v>
      </c>
      <c r="D20" s="479">
        <f t="shared" si="0"/>
        <v>2301</v>
      </c>
      <c r="E20" s="479">
        <v>2301</v>
      </c>
      <c r="F20" s="470"/>
      <c r="G20" s="470"/>
      <c r="H20" s="470"/>
      <c r="I20" s="470"/>
      <c r="J20" s="470"/>
      <c r="K20" s="470"/>
      <c r="L20" s="470"/>
      <c r="M20" s="474"/>
    </row>
    <row r="21" spans="1:13" s="475" customFormat="1" x14ac:dyDescent="0.25">
      <c r="A21" s="470">
        <v>17</v>
      </c>
      <c r="B21" s="481" t="s">
        <v>20</v>
      </c>
      <c r="C21" s="482" t="s">
        <v>21</v>
      </c>
      <c r="D21" s="479">
        <f t="shared" si="0"/>
        <v>5666</v>
      </c>
      <c r="E21" s="479">
        <v>5209</v>
      </c>
      <c r="F21" s="470"/>
      <c r="G21" s="470"/>
      <c r="H21" s="470"/>
      <c r="I21" s="470"/>
      <c r="J21" s="470">
        <v>30</v>
      </c>
      <c r="K21" s="470"/>
      <c r="L21" s="470">
        <v>457</v>
      </c>
      <c r="M21" s="474"/>
    </row>
    <row r="22" spans="1:13" s="475" customFormat="1" x14ac:dyDescent="0.25">
      <c r="A22" s="470">
        <v>18</v>
      </c>
      <c r="B22" s="269" t="s">
        <v>82</v>
      </c>
      <c r="C22" s="480" t="s">
        <v>83</v>
      </c>
      <c r="D22" s="479">
        <f t="shared" si="0"/>
        <v>722</v>
      </c>
      <c r="E22" s="479">
        <v>722</v>
      </c>
      <c r="F22" s="470"/>
      <c r="G22" s="470"/>
      <c r="H22" s="470"/>
      <c r="I22" s="470"/>
      <c r="J22" s="470"/>
      <c r="K22" s="470"/>
      <c r="L22" s="470"/>
      <c r="M22" s="474"/>
    </row>
    <row r="23" spans="1:13" s="475" customFormat="1" x14ac:dyDescent="0.25">
      <c r="A23" s="470">
        <v>19</v>
      </c>
      <c r="B23" s="269" t="s">
        <v>84</v>
      </c>
      <c r="C23" s="480" t="s">
        <v>85</v>
      </c>
      <c r="D23" s="479">
        <f t="shared" si="0"/>
        <v>554</v>
      </c>
      <c r="E23" s="479">
        <v>554</v>
      </c>
      <c r="F23" s="470"/>
      <c r="G23" s="470"/>
      <c r="H23" s="470"/>
      <c r="I23" s="470"/>
      <c r="J23" s="470"/>
      <c r="K23" s="470"/>
      <c r="L23" s="470"/>
      <c r="M23" s="474"/>
    </row>
    <row r="24" spans="1:13" s="475" customFormat="1" x14ac:dyDescent="0.25">
      <c r="A24" s="470">
        <v>20</v>
      </c>
      <c r="B24" s="269" t="s">
        <v>86</v>
      </c>
      <c r="C24" s="480" t="s">
        <v>87</v>
      </c>
      <c r="D24" s="479">
        <f t="shared" si="0"/>
        <v>3161</v>
      </c>
      <c r="E24" s="479">
        <v>3161</v>
      </c>
      <c r="F24" s="470"/>
      <c r="G24" s="470"/>
      <c r="H24" s="470"/>
      <c r="I24" s="470"/>
      <c r="J24" s="470"/>
      <c r="K24" s="470"/>
      <c r="L24" s="470"/>
      <c r="M24" s="474"/>
    </row>
    <row r="25" spans="1:13" s="475" customFormat="1" x14ac:dyDescent="0.25">
      <c r="A25" s="470">
        <v>21</v>
      </c>
      <c r="B25" s="269" t="s">
        <v>22</v>
      </c>
      <c r="C25" s="480" t="s">
        <v>23</v>
      </c>
      <c r="D25" s="479">
        <f t="shared" si="0"/>
        <v>3109</v>
      </c>
      <c r="E25" s="479">
        <f>3159-50</f>
        <v>3109</v>
      </c>
      <c r="F25" s="470"/>
      <c r="G25" s="470"/>
      <c r="H25" s="470"/>
      <c r="I25" s="470"/>
      <c r="J25" s="470">
        <v>25</v>
      </c>
      <c r="K25" s="470"/>
      <c r="L25" s="470"/>
      <c r="M25" s="474"/>
    </row>
    <row r="26" spans="1:13" s="475" customFormat="1" x14ac:dyDescent="0.25">
      <c r="A26" s="470">
        <v>22</v>
      </c>
      <c r="B26" s="481" t="s">
        <v>24</v>
      </c>
      <c r="C26" s="482" t="s">
        <v>25</v>
      </c>
      <c r="D26" s="479">
        <f t="shared" si="0"/>
        <v>582</v>
      </c>
      <c r="E26" s="479">
        <v>582</v>
      </c>
      <c r="F26" s="470"/>
      <c r="G26" s="470"/>
      <c r="H26" s="470"/>
      <c r="I26" s="470"/>
      <c r="J26" s="470"/>
      <c r="K26" s="470"/>
      <c r="L26" s="470"/>
      <c r="M26" s="474"/>
    </row>
    <row r="27" spans="1:13" s="475" customFormat="1" x14ac:dyDescent="0.25">
      <c r="A27" s="470">
        <v>23</v>
      </c>
      <c r="B27" s="520" t="s">
        <v>88</v>
      </c>
      <c r="C27" s="521" t="s">
        <v>89</v>
      </c>
      <c r="D27" s="479">
        <f t="shared" si="0"/>
        <v>0</v>
      </c>
      <c r="E27" s="479"/>
      <c r="F27" s="470"/>
      <c r="G27" s="470"/>
      <c r="H27" s="470"/>
      <c r="I27" s="470"/>
      <c r="J27" s="470"/>
      <c r="K27" s="470"/>
      <c r="L27" s="470"/>
      <c r="M27" s="474"/>
    </row>
    <row r="28" spans="1:13" s="475" customFormat="1" ht="24" x14ac:dyDescent="0.25">
      <c r="A28" s="470">
        <v>24</v>
      </c>
      <c r="B28" s="481" t="s">
        <v>90</v>
      </c>
      <c r="C28" s="482" t="s">
        <v>91</v>
      </c>
      <c r="D28" s="479">
        <f t="shared" si="0"/>
        <v>530</v>
      </c>
      <c r="E28" s="479">
        <v>0</v>
      </c>
      <c r="F28" s="470"/>
      <c r="G28" s="470"/>
      <c r="H28" s="470"/>
      <c r="I28" s="470"/>
      <c r="J28" s="470"/>
      <c r="K28" s="470"/>
      <c r="L28" s="470">
        <v>530</v>
      </c>
      <c r="M28" s="474"/>
    </row>
    <row r="29" spans="1:13" s="807" customFormat="1" ht="24" x14ac:dyDescent="0.25">
      <c r="A29" s="871">
        <v>25</v>
      </c>
      <c r="B29" s="805" t="s">
        <v>92</v>
      </c>
      <c r="C29" s="684" t="s">
        <v>775</v>
      </c>
      <c r="D29" s="806">
        <f t="shared" si="0"/>
        <v>13996</v>
      </c>
      <c r="E29" s="806">
        <f>11983+1404-8-80-1+702-2-2</f>
        <v>13996</v>
      </c>
      <c r="F29" s="469"/>
      <c r="G29" s="469"/>
      <c r="H29" s="469"/>
      <c r="I29" s="469"/>
      <c r="J29" s="469">
        <f>0+134</f>
        <v>134</v>
      </c>
      <c r="K29" s="469"/>
      <c r="L29" s="469"/>
      <c r="M29" s="273"/>
    </row>
    <row r="30" spans="1:13" s="475" customFormat="1" ht="13.5" customHeight="1" x14ac:dyDescent="0.25">
      <c r="A30" s="872"/>
      <c r="B30" s="481" t="s">
        <v>94</v>
      </c>
      <c r="C30" s="482" t="s">
        <v>95</v>
      </c>
      <c r="D30" s="479">
        <f t="shared" si="0"/>
        <v>663</v>
      </c>
      <c r="E30" s="479">
        <v>663</v>
      </c>
      <c r="F30" s="470"/>
      <c r="G30" s="470"/>
      <c r="H30" s="470"/>
      <c r="I30" s="470"/>
      <c r="J30" s="470">
        <v>95</v>
      </c>
      <c r="K30" s="470"/>
      <c r="L30" s="470"/>
      <c r="M30" s="474"/>
    </row>
    <row r="31" spans="1:13" s="475" customFormat="1" ht="13.5" customHeight="1" x14ac:dyDescent="0.25">
      <c r="A31" s="470">
        <v>26</v>
      </c>
      <c r="B31" s="522" t="s">
        <v>96</v>
      </c>
      <c r="C31" s="521" t="s">
        <v>97</v>
      </c>
      <c r="D31" s="479">
        <f t="shared" si="0"/>
        <v>0</v>
      </c>
      <c r="E31" s="479"/>
      <c r="F31" s="470"/>
      <c r="G31" s="470"/>
      <c r="H31" s="470"/>
      <c r="I31" s="470"/>
      <c r="J31" s="470"/>
      <c r="K31" s="470"/>
      <c r="L31" s="470"/>
      <c r="M31" s="474"/>
    </row>
    <row r="32" spans="1:13" s="475" customFormat="1" x14ac:dyDescent="0.25">
      <c r="A32" s="470">
        <v>27</v>
      </c>
      <c r="B32" s="481" t="s">
        <v>26</v>
      </c>
      <c r="C32" s="482" t="s">
        <v>27</v>
      </c>
      <c r="D32" s="479">
        <f t="shared" si="0"/>
        <v>3430</v>
      </c>
      <c r="E32" s="479">
        <f>3431-1</f>
        <v>3430</v>
      </c>
      <c r="F32" s="470"/>
      <c r="G32" s="470"/>
      <c r="H32" s="470"/>
      <c r="I32" s="470"/>
      <c r="J32" s="470">
        <v>20</v>
      </c>
      <c r="K32" s="470"/>
      <c r="L32" s="470"/>
      <c r="M32" s="474"/>
    </row>
    <row r="33" spans="1:13" s="475" customFormat="1" x14ac:dyDescent="0.25">
      <c r="A33" s="470">
        <v>28</v>
      </c>
      <c r="B33" s="269" t="s">
        <v>98</v>
      </c>
      <c r="C33" s="480" t="s">
        <v>99</v>
      </c>
      <c r="D33" s="479">
        <f t="shared" si="0"/>
        <v>5760</v>
      </c>
      <c r="E33" s="479">
        <v>5760</v>
      </c>
      <c r="F33" s="470"/>
      <c r="G33" s="470"/>
      <c r="H33" s="470"/>
      <c r="I33" s="470"/>
      <c r="J33" s="470">
        <v>30</v>
      </c>
      <c r="K33" s="470"/>
      <c r="L33" s="470"/>
      <c r="M33" s="474"/>
    </row>
    <row r="34" spans="1:13" s="475" customFormat="1" x14ac:dyDescent="0.25">
      <c r="A34" s="470">
        <v>29</v>
      </c>
      <c r="B34" s="483" t="s">
        <v>100</v>
      </c>
      <c r="C34" s="484" t="s">
        <v>101</v>
      </c>
      <c r="D34" s="479">
        <f t="shared" si="0"/>
        <v>975</v>
      </c>
      <c r="E34" s="479">
        <f>986-1-10</f>
        <v>975</v>
      </c>
      <c r="F34" s="470"/>
      <c r="G34" s="470"/>
      <c r="H34" s="470"/>
      <c r="I34" s="470"/>
      <c r="J34" s="470"/>
      <c r="K34" s="470"/>
      <c r="L34" s="470"/>
      <c r="M34" s="474"/>
    </row>
    <row r="35" spans="1:13" s="475" customFormat="1" x14ac:dyDescent="0.25">
      <c r="A35" s="470">
        <v>30</v>
      </c>
      <c r="B35" s="269" t="s">
        <v>102</v>
      </c>
      <c r="C35" s="480" t="s">
        <v>103</v>
      </c>
      <c r="D35" s="479">
        <f t="shared" si="0"/>
        <v>4127</v>
      </c>
      <c r="E35" s="479">
        <f>3569-2</f>
        <v>3567</v>
      </c>
      <c r="F35" s="470"/>
      <c r="G35" s="470"/>
      <c r="H35" s="470"/>
      <c r="I35" s="470"/>
      <c r="J35" s="470">
        <v>30</v>
      </c>
      <c r="K35" s="470"/>
      <c r="L35" s="470">
        <v>560</v>
      </c>
      <c r="M35" s="474"/>
    </row>
    <row r="36" spans="1:13" s="475" customFormat="1" x14ac:dyDescent="0.25">
      <c r="A36" s="470">
        <v>31</v>
      </c>
      <c r="B36" s="269" t="s">
        <v>104</v>
      </c>
      <c r="C36" s="480" t="s">
        <v>105</v>
      </c>
      <c r="D36" s="479">
        <f t="shared" si="0"/>
        <v>1310</v>
      </c>
      <c r="E36" s="479">
        <v>1310</v>
      </c>
      <c r="F36" s="470"/>
      <c r="G36" s="470"/>
      <c r="H36" s="470"/>
      <c r="I36" s="470"/>
      <c r="J36" s="470"/>
      <c r="K36" s="470"/>
      <c r="L36" s="470"/>
      <c r="M36" s="474"/>
    </row>
    <row r="37" spans="1:13" s="475" customFormat="1" x14ac:dyDescent="0.25">
      <c r="A37" s="470">
        <v>32</v>
      </c>
      <c r="B37" s="481" t="s">
        <v>106</v>
      </c>
      <c r="C37" s="482" t="s">
        <v>107</v>
      </c>
      <c r="D37" s="479">
        <f t="shared" si="0"/>
        <v>3700</v>
      </c>
      <c r="E37" s="479">
        <v>3700</v>
      </c>
      <c r="F37" s="470"/>
      <c r="G37" s="470"/>
      <c r="H37" s="470"/>
      <c r="I37" s="470"/>
      <c r="J37" s="470">
        <v>15</v>
      </c>
      <c r="K37" s="470"/>
      <c r="L37" s="470"/>
      <c r="M37" s="474"/>
    </row>
    <row r="38" spans="1:13" s="475" customFormat="1" x14ac:dyDescent="0.25">
      <c r="A38" s="470">
        <v>33</v>
      </c>
      <c r="B38" s="269" t="s">
        <v>108</v>
      </c>
      <c r="C38" s="480" t="s">
        <v>109</v>
      </c>
      <c r="D38" s="479">
        <f t="shared" si="0"/>
        <v>1159</v>
      </c>
      <c r="E38" s="479">
        <f>1160-1</f>
        <v>1159</v>
      </c>
      <c r="F38" s="470"/>
      <c r="G38" s="470"/>
      <c r="H38" s="470"/>
      <c r="I38" s="470"/>
      <c r="J38" s="470"/>
      <c r="K38" s="470"/>
      <c r="L38" s="470"/>
      <c r="M38" s="474"/>
    </row>
    <row r="39" spans="1:13" s="475" customFormat="1" x14ac:dyDescent="0.25">
      <c r="A39" s="470">
        <v>34</v>
      </c>
      <c r="B39" s="269" t="s">
        <v>110</v>
      </c>
      <c r="C39" s="480" t="s">
        <v>111</v>
      </c>
      <c r="D39" s="479">
        <f t="shared" si="0"/>
        <v>713</v>
      </c>
      <c r="E39" s="479">
        <v>713</v>
      </c>
      <c r="F39" s="470"/>
      <c r="G39" s="470"/>
      <c r="H39" s="470"/>
      <c r="I39" s="470"/>
      <c r="J39" s="470"/>
      <c r="K39" s="470"/>
      <c r="L39" s="470"/>
      <c r="M39" s="474"/>
    </row>
    <row r="40" spans="1:13" s="475" customFormat="1" x14ac:dyDescent="0.25">
      <c r="A40" s="470">
        <v>35</v>
      </c>
      <c r="B40" s="485" t="s">
        <v>112</v>
      </c>
      <c r="C40" s="486" t="s">
        <v>113</v>
      </c>
      <c r="D40" s="479">
        <f t="shared" si="0"/>
        <v>1348</v>
      </c>
      <c r="E40" s="479">
        <f>1268+80</f>
        <v>1348</v>
      </c>
      <c r="F40" s="470"/>
      <c r="G40" s="470"/>
      <c r="H40" s="470"/>
      <c r="I40" s="470"/>
      <c r="J40" s="470"/>
      <c r="K40" s="470"/>
      <c r="L40" s="470"/>
      <c r="M40" s="474"/>
    </row>
    <row r="41" spans="1:13" s="475" customFormat="1" x14ac:dyDescent="0.25">
      <c r="A41" s="470">
        <v>36</v>
      </c>
      <c r="B41" s="269" t="s">
        <v>114</v>
      </c>
      <c r="C41" s="480" t="s">
        <v>115</v>
      </c>
      <c r="D41" s="479">
        <f t="shared" si="0"/>
        <v>557</v>
      </c>
      <c r="E41" s="479">
        <v>557</v>
      </c>
      <c r="F41" s="470"/>
      <c r="G41" s="470"/>
      <c r="H41" s="470"/>
      <c r="I41" s="470"/>
      <c r="J41" s="470"/>
      <c r="K41" s="470"/>
      <c r="L41" s="470"/>
      <c r="M41" s="474"/>
    </row>
    <row r="42" spans="1:13" s="475" customFormat="1" x14ac:dyDescent="0.25">
      <c r="A42" s="470">
        <v>37</v>
      </c>
      <c r="B42" s="483" t="s">
        <v>116</v>
      </c>
      <c r="C42" s="484" t="s">
        <v>117</v>
      </c>
      <c r="D42" s="479">
        <f t="shared" si="0"/>
        <v>777</v>
      </c>
      <c r="E42" s="479">
        <f>807-30</f>
        <v>777</v>
      </c>
      <c r="F42" s="470"/>
      <c r="G42" s="470"/>
      <c r="H42" s="470"/>
      <c r="I42" s="470">
        <v>127</v>
      </c>
      <c r="J42" s="470"/>
      <c r="K42" s="470"/>
      <c r="L42" s="470"/>
      <c r="M42" s="474"/>
    </row>
    <row r="43" spans="1:13" s="475" customFormat="1" x14ac:dyDescent="0.25">
      <c r="A43" s="470">
        <v>38</v>
      </c>
      <c r="B43" s="481" t="s">
        <v>28</v>
      </c>
      <c r="C43" s="482" t="s">
        <v>29</v>
      </c>
      <c r="D43" s="479">
        <f t="shared" si="0"/>
        <v>5070</v>
      </c>
      <c r="E43" s="479">
        <f>4772-1-1</f>
        <v>4770</v>
      </c>
      <c r="F43" s="470"/>
      <c r="G43" s="470"/>
      <c r="H43" s="470"/>
      <c r="I43" s="470"/>
      <c r="J43" s="470">
        <v>80</v>
      </c>
      <c r="K43" s="470"/>
      <c r="L43" s="470">
        <v>300</v>
      </c>
      <c r="M43" s="474"/>
    </row>
    <row r="44" spans="1:13" s="475" customFormat="1" x14ac:dyDescent="0.25">
      <c r="A44" s="470">
        <v>39</v>
      </c>
      <c r="B44" s="269" t="s">
        <v>118</v>
      </c>
      <c r="C44" s="480" t="s">
        <v>119</v>
      </c>
      <c r="D44" s="479">
        <f t="shared" si="0"/>
        <v>1026</v>
      </c>
      <c r="E44" s="479">
        <f>1028-1-1</f>
        <v>1026</v>
      </c>
      <c r="F44" s="470"/>
      <c r="G44" s="470"/>
      <c r="H44" s="470"/>
      <c r="I44" s="470"/>
      <c r="J44" s="470"/>
      <c r="K44" s="470"/>
      <c r="L44" s="470"/>
      <c r="M44" s="474"/>
    </row>
    <row r="45" spans="1:13" s="475" customFormat="1" x14ac:dyDescent="0.25">
      <c r="A45" s="470">
        <v>40</v>
      </c>
      <c r="B45" s="481" t="s">
        <v>120</v>
      </c>
      <c r="C45" s="482" t="s">
        <v>121</v>
      </c>
      <c r="D45" s="479">
        <f t="shared" si="0"/>
        <v>3913</v>
      </c>
      <c r="E45" s="479">
        <f>3914-1</f>
        <v>3913</v>
      </c>
      <c r="F45" s="470"/>
      <c r="G45" s="470"/>
      <c r="H45" s="470"/>
      <c r="I45" s="470"/>
      <c r="J45" s="470"/>
      <c r="K45" s="470"/>
      <c r="L45" s="470"/>
      <c r="M45" s="474"/>
    </row>
    <row r="46" spans="1:13" s="475" customFormat="1" x14ac:dyDescent="0.25">
      <c r="A46" s="470">
        <v>41</v>
      </c>
      <c r="B46" s="269" t="s">
        <v>122</v>
      </c>
      <c r="C46" s="480" t="s">
        <v>123</v>
      </c>
      <c r="D46" s="479">
        <f t="shared" si="0"/>
        <v>780</v>
      </c>
      <c r="E46" s="479">
        <v>780</v>
      </c>
      <c r="F46" s="470"/>
      <c r="G46" s="470"/>
      <c r="H46" s="470"/>
      <c r="I46" s="470"/>
      <c r="J46" s="470"/>
      <c r="K46" s="470"/>
      <c r="L46" s="470"/>
      <c r="M46" s="474"/>
    </row>
    <row r="47" spans="1:13" s="475" customFormat="1" ht="14.25" customHeight="1" x14ac:dyDescent="0.25">
      <c r="A47" s="470">
        <v>42</v>
      </c>
      <c r="B47" s="269" t="s">
        <v>124</v>
      </c>
      <c r="C47" s="482" t="s">
        <v>125</v>
      </c>
      <c r="D47" s="479">
        <f t="shared" si="0"/>
        <v>1050</v>
      </c>
      <c r="E47" s="479">
        <f>1051-1</f>
        <v>1050</v>
      </c>
      <c r="F47" s="470"/>
      <c r="G47" s="470"/>
      <c r="H47" s="470"/>
      <c r="I47" s="470"/>
      <c r="J47" s="470"/>
      <c r="K47" s="470"/>
      <c r="L47" s="470"/>
      <c r="M47" s="474"/>
    </row>
    <row r="48" spans="1:13" s="475" customFormat="1" ht="10.5" customHeight="1" x14ac:dyDescent="0.25">
      <c r="A48" s="470">
        <v>43</v>
      </c>
      <c r="B48" s="269" t="s">
        <v>126</v>
      </c>
      <c r="C48" s="480" t="s">
        <v>127</v>
      </c>
      <c r="D48" s="479">
        <f t="shared" si="0"/>
        <v>1261</v>
      </c>
      <c r="E48" s="479">
        <v>1261</v>
      </c>
      <c r="F48" s="470"/>
      <c r="G48" s="470"/>
      <c r="H48" s="470"/>
      <c r="I48" s="470"/>
      <c r="J48" s="470"/>
      <c r="K48" s="470"/>
      <c r="L48" s="470"/>
      <c r="M48" s="474"/>
    </row>
    <row r="49" spans="1:13" s="475" customFormat="1" x14ac:dyDescent="0.25">
      <c r="A49" s="470">
        <v>44</v>
      </c>
      <c r="B49" s="487" t="s">
        <v>128</v>
      </c>
      <c r="C49" s="488" t="s">
        <v>129</v>
      </c>
      <c r="D49" s="479">
        <f t="shared" si="0"/>
        <v>1512</v>
      </c>
      <c r="E49" s="479">
        <v>1512</v>
      </c>
      <c r="F49" s="470"/>
      <c r="G49" s="470"/>
      <c r="H49" s="470"/>
      <c r="I49" s="470"/>
      <c r="J49" s="470"/>
      <c r="K49" s="470"/>
      <c r="L49" s="470"/>
      <c r="M49" s="474"/>
    </row>
    <row r="50" spans="1:13" s="475" customFormat="1" x14ac:dyDescent="0.25">
      <c r="A50" s="470">
        <v>45</v>
      </c>
      <c r="B50" s="481" t="s">
        <v>130</v>
      </c>
      <c r="C50" s="482" t="s">
        <v>131</v>
      </c>
      <c r="D50" s="479">
        <f t="shared" si="0"/>
        <v>503</v>
      </c>
      <c r="E50" s="479">
        <v>503</v>
      </c>
      <c r="F50" s="470"/>
      <c r="G50" s="470"/>
      <c r="H50" s="470"/>
      <c r="I50" s="470"/>
      <c r="J50" s="470"/>
      <c r="K50" s="470"/>
      <c r="L50" s="470"/>
      <c r="M50" s="474"/>
    </row>
    <row r="51" spans="1:13" s="475" customFormat="1" x14ac:dyDescent="0.25">
      <c r="A51" s="470">
        <v>46</v>
      </c>
      <c r="B51" s="269" t="s">
        <v>132</v>
      </c>
      <c r="C51" s="480" t="s">
        <v>133</v>
      </c>
      <c r="D51" s="479">
        <f t="shared" si="0"/>
        <v>974</v>
      </c>
      <c r="E51" s="479">
        <v>974</v>
      </c>
      <c r="F51" s="470"/>
      <c r="G51" s="470"/>
      <c r="H51" s="470"/>
      <c r="I51" s="470"/>
      <c r="J51" s="470"/>
      <c r="K51" s="470"/>
      <c r="L51" s="470"/>
      <c r="M51" s="474"/>
    </row>
    <row r="52" spans="1:13" s="475" customFormat="1" ht="10.5" customHeight="1" x14ac:dyDescent="0.25">
      <c r="A52" s="470">
        <v>47</v>
      </c>
      <c r="B52" s="481" t="s">
        <v>134</v>
      </c>
      <c r="C52" s="482" t="s">
        <v>135</v>
      </c>
      <c r="D52" s="479">
        <f t="shared" si="0"/>
        <v>1518</v>
      </c>
      <c r="E52" s="479">
        <f>1526-8</f>
        <v>1518</v>
      </c>
      <c r="F52" s="470"/>
      <c r="G52" s="470"/>
      <c r="H52" s="470"/>
      <c r="I52" s="470"/>
      <c r="J52" s="470"/>
      <c r="K52" s="470"/>
      <c r="L52" s="470"/>
      <c r="M52" s="474"/>
    </row>
    <row r="53" spans="1:13" s="475" customFormat="1" x14ac:dyDescent="0.25">
      <c r="A53" s="470">
        <v>48</v>
      </c>
      <c r="B53" s="269" t="s">
        <v>136</v>
      </c>
      <c r="C53" s="480" t="s">
        <v>137</v>
      </c>
      <c r="D53" s="479">
        <f t="shared" si="0"/>
        <v>5733</v>
      </c>
      <c r="E53" s="479">
        <f>5737-3-1</f>
        <v>5733</v>
      </c>
      <c r="F53" s="470"/>
      <c r="G53" s="470"/>
      <c r="H53" s="470"/>
      <c r="I53" s="470"/>
      <c r="J53" s="470">
        <v>61</v>
      </c>
      <c r="K53" s="470"/>
      <c r="L53" s="470"/>
      <c r="M53" s="474"/>
    </row>
    <row r="54" spans="1:13" s="475" customFormat="1" x14ac:dyDescent="0.25">
      <c r="A54" s="470">
        <v>49</v>
      </c>
      <c r="B54" s="481" t="s">
        <v>138</v>
      </c>
      <c r="C54" s="482" t="s">
        <v>139</v>
      </c>
      <c r="D54" s="479">
        <f t="shared" si="0"/>
        <v>1094</v>
      </c>
      <c r="E54" s="479">
        <f>1096-1-1</f>
        <v>1094</v>
      </c>
      <c r="F54" s="470"/>
      <c r="G54" s="470"/>
      <c r="H54" s="470"/>
      <c r="I54" s="470"/>
      <c r="J54" s="470"/>
      <c r="K54" s="470"/>
      <c r="L54" s="470"/>
      <c r="M54" s="474"/>
    </row>
    <row r="55" spans="1:13" s="475" customFormat="1" x14ac:dyDescent="0.25">
      <c r="A55" s="470">
        <v>50</v>
      </c>
      <c r="B55" s="481" t="s">
        <v>140</v>
      </c>
      <c r="C55" s="482" t="s">
        <v>141</v>
      </c>
      <c r="D55" s="479">
        <f t="shared" si="0"/>
        <v>799</v>
      </c>
      <c r="E55" s="479">
        <v>799</v>
      </c>
      <c r="F55" s="470"/>
      <c r="G55" s="470"/>
      <c r="H55" s="470"/>
      <c r="I55" s="470"/>
      <c r="J55" s="470"/>
      <c r="K55" s="470"/>
      <c r="L55" s="470"/>
      <c r="M55" s="474"/>
    </row>
    <row r="56" spans="1:13" s="475" customFormat="1" x14ac:dyDescent="0.25">
      <c r="A56" s="470">
        <v>51</v>
      </c>
      <c r="B56" s="269" t="s">
        <v>142</v>
      </c>
      <c r="C56" s="484" t="s">
        <v>143</v>
      </c>
      <c r="D56" s="479">
        <f t="shared" si="0"/>
        <v>879</v>
      </c>
      <c r="E56" s="479">
        <f>880-1</f>
        <v>879</v>
      </c>
      <c r="F56" s="470"/>
      <c r="G56" s="470"/>
      <c r="H56" s="470"/>
      <c r="I56" s="470"/>
      <c r="J56" s="470"/>
      <c r="K56" s="470"/>
      <c r="L56" s="470"/>
      <c r="M56" s="474"/>
    </row>
    <row r="57" spans="1:13" s="475" customFormat="1" x14ac:dyDescent="0.25">
      <c r="A57" s="470">
        <v>52</v>
      </c>
      <c r="B57" s="520" t="s">
        <v>144</v>
      </c>
      <c r="C57" s="521" t="s">
        <v>145</v>
      </c>
      <c r="D57" s="479">
        <f t="shared" si="0"/>
        <v>0</v>
      </c>
      <c r="E57" s="479"/>
      <c r="F57" s="470"/>
      <c r="G57" s="470"/>
      <c r="H57" s="470"/>
      <c r="I57" s="470"/>
      <c r="J57" s="470"/>
      <c r="K57" s="470"/>
      <c r="L57" s="470"/>
      <c r="M57" s="474"/>
    </row>
    <row r="58" spans="1:13" s="475" customFormat="1" x14ac:dyDescent="0.25">
      <c r="A58" s="470">
        <v>53</v>
      </c>
      <c r="B58" s="270" t="s">
        <v>146</v>
      </c>
      <c r="C58" s="482" t="s">
        <v>147</v>
      </c>
      <c r="D58" s="479">
        <f t="shared" si="0"/>
        <v>280</v>
      </c>
      <c r="E58" s="479">
        <v>0</v>
      </c>
      <c r="F58" s="470"/>
      <c r="G58" s="470"/>
      <c r="H58" s="470"/>
      <c r="I58" s="470"/>
      <c r="J58" s="470"/>
      <c r="K58" s="470"/>
      <c r="L58" s="470">
        <v>280</v>
      </c>
      <c r="M58" s="474"/>
    </row>
    <row r="59" spans="1:13" s="475" customFormat="1" ht="12" customHeight="1" x14ac:dyDescent="0.25">
      <c r="A59" s="470">
        <v>54</v>
      </c>
      <c r="B59" s="481" t="s">
        <v>148</v>
      </c>
      <c r="C59" s="482" t="s">
        <v>149</v>
      </c>
      <c r="D59" s="479">
        <f t="shared" si="0"/>
        <v>1843</v>
      </c>
      <c r="E59" s="479">
        <v>1843</v>
      </c>
      <c r="F59" s="470"/>
      <c r="G59" s="470"/>
      <c r="H59" s="470"/>
      <c r="I59" s="470"/>
      <c r="J59" s="470"/>
      <c r="K59" s="470"/>
      <c r="L59" s="470"/>
      <c r="M59" s="474"/>
    </row>
    <row r="60" spans="1:13" s="475" customFormat="1" ht="12.75" customHeight="1" x14ac:dyDescent="0.25">
      <c r="A60" s="470">
        <v>55</v>
      </c>
      <c r="B60" s="481" t="s">
        <v>150</v>
      </c>
      <c r="C60" s="482" t="s">
        <v>151</v>
      </c>
      <c r="D60" s="479">
        <f t="shared" si="0"/>
        <v>1446</v>
      </c>
      <c r="E60" s="479">
        <f>1416+30</f>
        <v>1446</v>
      </c>
      <c r="F60" s="470"/>
      <c r="G60" s="470"/>
      <c r="H60" s="470"/>
      <c r="I60" s="470"/>
      <c r="J60" s="470"/>
      <c r="K60" s="470"/>
      <c r="L60" s="470"/>
      <c r="M60" s="474"/>
    </row>
    <row r="61" spans="1:13" s="475" customFormat="1" ht="11.25" customHeight="1" x14ac:dyDescent="0.25">
      <c r="A61" s="470">
        <v>56</v>
      </c>
      <c r="B61" s="269" t="s">
        <v>154</v>
      </c>
      <c r="C61" s="482" t="s">
        <v>155</v>
      </c>
      <c r="D61" s="479">
        <f t="shared" si="0"/>
        <v>2714</v>
      </c>
      <c r="E61" s="479">
        <v>2714</v>
      </c>
      <c r="F61" s="470"/>
      <c r="G61" s="470"/>
      <c r="H61" s="470"/>
      <c r="I61" s="470"/>
      <c r="J61" s="470"/>
      <c r="K61" s="470"/>
      <c r="L61" s="470"/>
      <c r="M61" s="474"/>
    </row>
    <row r="62" spans="1:13" s="475" customFormat="1" ht="11.25" customHeight="1" x14ac:dyDescent="0.25">
      <c r="A62" s="470">
        <v>57</v>
      </c>
      <c r="B62" s="523" t="s">
        <v>158</v>
      </c>
      <c r="C62" s="521" t="s">
        <v>159</v>
      </c>
      <c r="D62" s="479">
        <f t="shared" si="0"/>
        <v>0</v>
      </c>
      <c r="E62" s="479"/>
      <c r="F62" s="470"/>
      <c r="G62" s="470"/>
      <c r="H62" s="470"/>
      <c r="I62" s="470"/>
      <c r="J62" s="470"/>
      <c r="K62" s="470"/>
      <c r="L62" s="470"/>
      <c r="M62" s="474"/>
    </row>
    <row r="63" spans="1:13" s="475" customFormat="1" ht="11.25" customHeight="1" x14ac:dyDescent="0.25">
      <c r="A63" s="470">
        <v>58</v>
      </c>
      <c r="B63" s="523" t="s">
        <v>160</v>
      </c>
      <c r="C63" s="521" t="s">
        <v>161</v>
      </c>
      <c r="D63" s="479">
        <f t="shared" si="0"/>
        <v>0</v>
      </c>
      <c r="E63" s="479"/>
      <c r="F63" s="470"/>
      <c r="G63" s="470"/>
      <c r="H63" s="470"/>
      <c r="I63" s="470"/>
      <c r="J63" s="470"/>
      <c r="K63" s="470"/>
      <c r="L63" s="470"/>
      <c r="M63" s="474"/>
    </row>
    <row r="64" spans="1:13" s="475" customFormat="1" ht="11.25" customHeight="1" x14ac:dyDescent="0.25">
      <c r="A64" s="470">
        <v>59</v>
      </c>
      <c r="B64" s="269" t="s">
        <v>162</v>
      </c>
      <c r="C64" s="482" t="s">
        <v>163</v>
      </c>
      <c r="D64" s="479">
        <f t="shared" si="0"/>
        <v>3680</v>
      </c>
      <c r="E64" s="479">
        <f>3684-1-3</f>
        <v>3680</v>
      </c>
      <c r="F64" s="470"/>
      <c r="G64" s="470"/>
      <c r="H64" s="470"/>
      <c r="I64" s="470"/>
      <c r="J64" s="470"/>
      <c r="K64" s="470"/>
      <c r="L64" s="470"/>
      <c r="M64" s="474"/>
    </row>
    <row r="65" spans="1:13" s="475" customFormat="1" ht="11.25" customHeight="1" x14ac:dyDescent="0.25">
      <c r="A65" s="470">
        <v>60</v>
      </c>
      <c r="B65" s="269" t="s">
        <v>164</v>
      </c>
      <c r="C65" s="482" t="s">
        <v>165</v>
      </c>
      <c r="D65" s="479">
        <f t="shared" si="0"/>
        <v>2260</v>
      </c>
      <c r="E65" s="479">
        <f>1902-1-1</f>
        <v>1900</v>
      </c>
      <c r="F65" s="470"/>
      <c r="G65" s="470"/>
      <c r="H65" s="470"/>
      <c r="I65" s="470"/>
      <c r="J65" s="470"/>
      <c r="K65" s="470"/>
      <c r="L65" s="470">
        <v>360</v>
      </c>
      <c r="M65" s="474"/>
    </row>
    <row r="66" spans="1:13" s="475" customFormat="1" x14ac:dyDescent="0.25">
      <c r="A66" s="470">
        <v>61</v>
      </c>
      <c r="B66" s="269" t="s">
        <v>166</v>
      </c>
      <c r="C66" s="482" t="s">
        <v>167</v>
      </c>
      <c r="D66" s="479">
        <f t="shared" si="0"/>
        <v>4817</v>
      </c>
      <c r="E66" s="479">
        <f>4827-2-3-4-1</f>
        <v>4817</v>
      </c>
      <c r="F66" s="470"/>
      <c r="G66" s="470"/>
      <c r="H66" s="470"/>
      <c r="I66" s="470"/>
      <c r="J66" s="470"/>
      <c r="K66" s="470"/>
      <c r="L66" s="470"/>
      <c r="M66" s="474"/>
    </row>
    <row r="67" spans="1:13" s="475" customFormat="1" ht="36" x14ac:dyDescent="0.25">
      <c r="A67" s="871">
        <v>62</v>
      </c>
      <c r="B67" s="523" t="s">
        <v>170</v>
      </c>
      <c r="C67" s="56" t="s">
        <v>770</v>
      </c>
      <c r="D67" s="479">
        <f>E67+K67+L67</f>
        <v>0</v>
      </c>
      <c r="E67" s="479"/>
      <c r="F67" s="470"/>
      <c r="G67" s="470"/>
      <c r="H67" s="470"/>
      <c r="I67" s="470"/>
      <c r="J67" s="470"/>
      <c r="K67" s="470"/>
      <c r="L67" s="470"/>
      <c r="M67" s="474"/>
    </row>
    <row r="68" spans="1:13" s="475" customFormat="1" ht="24" x14ac:dyDescent="0.25">
      <c r="A68" s="873"/>
      <c r="B68" s="522" t="s">
        <v>168</v>
      </c>
      <c r="C68" s="521" t="s">
        <v>169</v>
      </c>
      <c r="D68" s="479">
        <f t="shared" si="0"/>
        <v>0</v>
      </c>
      <c r="E68" s="479"/>
      <c r="F68" s="470"/>
      <c r="G68" s="470"/>
      <c r="H68" s="470"/>
      <c r="I68" s="470"/>
      <c r="J68" s="470"/>
      <c r="K68" s="470"/>
      <c r="L68" s="470"/>
      <c r="M68" s="474"/>
    </row>
    <row r="69" spans="1:13" s="475" customFormat="1" ht="24" x14ac:dyDescent="0.25">
      <c r="A69" s="872"/>
      <c r="B69" s="522" t="s">
        <v>174</v>
      </c>
      <c r="C69" s="521" t="s">
        <v>175</v>
      </c>
      <c r="D69" s="479">
        <f>E69+K69+L69</f>
        <v>0</v>
      </c>
      <c r="E69" s="479"/>
      <c r="F69" s="470"/>
      <c r="G69" s="470"/>
      <c r="H69" s="470"/>
      <c r="I69" s="470"/>
      <c r="J69" s="470"/>
      <c r="K69" s="470"/>
      <c r="L69" s="470"/>
      <c r="M69" s="474"/>
    </row>
    <row r="70" spans="1:13" s="475" customFormat="1" ht="36" x14ac:dyDescent="0.25">
      <c r="A70" s="871">
        <v>63</v>
      </c>
      <c r="B70" s="523" t="s">
        <v>176</v>
      </c>
      <c r="C70" s="56" t="s">
        <v>773</v>
      </c>
      <c r="D70" s="479">
        <f>E70+K70+L70</f>
        <v>0</v>
      </c>
      <c r="E70" s="479"/>
      <c r="F70" s="470"/>
      <c r="G70" s="470"/>
      <c r="H70" s="470"/>
      <c r="I70" s="470"/>
      <c r="J70" s="470"/>
      <c r="K70" s="470"/>
      <c r="L70" s="470"/>
      <c r="M70" s="474"/>
    </row>
    <row r="71" spans="1:13" s="475" customFormat="1" ht="24" x14ac:dyDescent="0.25">
      <c r="A71" s="873"/>
      <c r="B71" s="522" t="s">
        <v>172</v>
      </c>
      <c r="C71" s="521" t="s">
        <v>173</v>
      </c>
      <c r="D71" s="479">
        <f t="shared" ref="D71:D134" si="1">E71+K71+L71</f>
        <v>0</v>
      </c>
      <c r="E71" s="479"/>
      <c r="F71" s="470"/>
      <c r="G71" s="470"/>
      <c r="H71" s="470"/>
      <c r="I71" s="470"/>
      <c r="J71" s="470"/>
      <c r="K71" s="470"/>
      <c r="L71" s="470"/>
      <c r="M71" s="474"/>
    </row>
    <row r="72" spans="1:13" s="475" customFormat="1" ht="24" x14ac:dyDescent="0.25">
      <c r="A72" s="873"/>
      <c r="B72" s="523" t="s">
        <v>178</v>
      </c>
      <c r="C72" s="521" t="s">
        <v>179</v>
      </c>
      <c r="D72" s="479">
        <f t="shared" si="1"/>
        <v>0</v>
      </c>
      <c r="E72" s="479"/>
      <c r="F72" s="470"/>
      <c r="G72" s="470"/>
      <c r="H72" s="470"/>
      <c r="I72" s="470"/>
      <c r="J72" s="470"/>
      <c r="K72" s="470"/>
      <c r="L72" s="470"/>
      <c r="M72" s="474"/>
    </row>
    <row r="73" spans="1:13" s="475" customFormat="1" ht="24" x14ac:dyDescent="0.25">
      <c r="A73" s="872"/>
      <c r="B73" s="523" t="s">
        <v>180</v>
      </c>
      <c r="C73" s="521" t="s">
        <v>181</v>
      </c>
      <c r="D73" s="479">
        <f t="shared" si="1"/>
        <v>0</v>
      </c>
      <c r="E73" s="479"/>
      <c r="F73" s="470"/>
      <c r="G73" s="470"/>
      <c r="H73" s="470"/>
      <c r="I73" s="470"/>
      <c r="J73" s="470"/>
      <c r="K73" s="470"/>
      <c r="L73" s="470"/>
      <c r="M73" s="474"/>
    </row>
    <row r="74" spans="1:13" s="475" customFormat="1" x14ac:dyDescent="0.25">
      <c r="A74" s="470">
        <v>64</v>
      </c>
      <c r="B74" s="269" t="s">
        <v>182</v>
      </c>
      <c r="C74" s="482" t="s">
        <v>183</v>
      </c>
      <c r="D74" s="479">
        <f t="shared" si="1"/>
        <v>4070</v>
      </c>
      <c r="E74" s="479">
        <f>4072-1-1</f>
        <v>4070</v>
      </c>
      <c r="F74" s="470"/>
      <c r="G74" s="470"/>
      <c r="H74" s="470"/>
      <c r="I74" s="470"/>
      <c r="J74" s="470"/>
      <c r="K74" s="470"/>
      <c r="L74" s="470"/>
      <c r="M74" s="474"/>
    </row>
    <row r="75" spans="1:13" s="475" customFormat="1" x14ac:dyDescent="0.25">
      <c r="A75" s="470">
        <v>65</v>
      </c>
      <c r="B75" s="481" t="s">
        <v>184</v>
      </c>
      <c r="C75" s="482" t="s">
        <v>185</v>
      </c>
      <c r="D75" s="479">
        <f t="shared" si="1"/>
        <v>7255</v>
      </c>
      <c r="E75" s="479">
        <f>6817-7-2-2-1-2</f>
        <v>6803</v>
      </c>
      <c r="F75" s="470"/>
      <c r="G75" s="470"/>
      <c r="H75" s="470"/>
      <c r="I75" s="470"/>
      <c r="J75" s="470"/>
      <c r="K75" s="470"/>
      <c r="L75" s="470">
        <v>452</v>
      </c>
      <c r="M75" s="474"/>
    </row>
    <row r="76" spans="1:13" s="475" customFormat="1" x14ac:dyDescent="0.25">
      <c r="A76" s="470">
        <v>66</v>
      </c>
      <c r="B76" s="481" t="s">
        <v>186</v>
      </c>
      <c r="C76" s="482" t="s">
        <v>187</v>
      </c>
      <c r="D76" s="479">
        <f t="shared" si="1"/>
        <v>7005</v>
      </c>
      <c r="E76" s="479">
        <f>6760-1-1</f>
        <v>6758</v>
      </c>
      <c r="F76" s="470"/>
      <c r="G76" s="470"/>
      <c r="H76" s="470"/>
      <c r="I76" s="470"/>
      <c r="J76" s="470"/>
      <c r="K76" s="470"/>
      <c r="L76" s="470">
        <v>247</v>
      </c>
      <c r="M76" s="474"/>
    </row>
    <row r="77" spans="1:13" s="807" customFormat="1" ht="24" x14ac:dyDescent="0.25">
      <c r="A77" s="871">
        <v>67</v>
      </c>
      <c r="B77" s="808" t="s">
        <v>188</v>
      </c>
      <c r="C77" s="684" t="s">
        <v>774</v>
      </c>
      <c r="D77" s="806">
        <f t="shared" si="1"/>
        <v>4125</v>
      </c>
      <c r="E77" s="806">
        <f>2544+1054+527</f>
        <v>4125</v>
      </c>
      <c r="F77" s="469"/>
      <c r="G77" s="469"/>
      <c r="H77" s="469"/>
      <c r="I77" s="469"/>
      <c r="J77" s="469"/>
      <c r="K77" s="469"/>
      <c r="L77" s="469"/>
      <c r="M77" s="273"/>
    </row>
    <row r="78" spans="1:13" s="475" customFormat="1" ht="11.25" customHeight="1" x14ac:dyDescent="0.25">
      <c r="A78" s="872"/>
      <c r="B78" s="483" t="s">
        <v>156</v>
      </c>
      <c r="C78" s="482" t="s">
        <v>157</v>
      </c>
      <c r="D78" s="479">
        <f>E78+K78+L78</f>
        <v>527</v>
      </c>
      <c r="E78" s="479">
        <v>527</v>
      </c>
      <c r="F78" s="470"/>
      <c r="G78" s="470"/>
      <c r="H78" s="470"/>
      <c r="I78" s="470"/>
      <c r="J78" s="470"/>
      <c r="K78" s="470"/>
      <c r="L78" s="470"/>
      <c r="M78" s="474"/>
    </row>
    <row r="79" spans="1:13" s="475" customFormat="1" x14ac:dyDescent="0.25">
      <c r="A79" s="470">
        <v>68</v>
      </c>
      <c r="B79" s="269" t="s">
        <v>190</v>
      </c>
      <c r="C79" s="482" t="s">
        <v>191</v>
      </c>
      <c r="D79" s="479">
        <f>E79+K79+L79</f>
        <v>7562</v>
      </c>
      <c r="E79" s="479">
        <f>7040-2-4-2-2-1</f>
        <v>7029</v>
      </c>
      <c r="F79" s="470">
        <v>606</v>
      </c>
      <c r="G79" s="470"/>
      <c r="H79" s="470"/>
      <c r="I79" s="470"/>
      <c r="J79" s="470"/>
      <c r="K79" s="470"/>
      <c r="L79" s="470">
        <v>533</v>
      </c>
      <c r="M79" s="474"/>
    </row>
    <row r="80" spans="1:13" s="807" customFormat="1" ht="24" x14ac:dyDescent="0.25">
      <c r="A80" s="871">
        <v>69</v>
      </c>
      <c r="B80" s="805" t="s">
        <v>192</v>
      </c>
      <c r="C80" s="684" t="s">
        <v>776</v>
      </c>
      <c r="D80" s="806">
        <f t="shared" si="1"/>
        <v>4162</v>
      </c>
      <c r="E80" s="806">
        <f>1935+1333+666</f>
        <v>3934</v>
      </c>
      <c r="F80" s="469"/>
      <c r="G80" s="469"/>
      <c r="H80" s="469"/>
      <c r="I80" s="469"/>
      <c r="J80" s="469">
        <v>460</v>
      </c>
      <c r="K80" s="469"/>
      <c r="L80" s="469">
        <v>228</v>
      </c>
      <c r="M80" s="273"/>
    </row>
    <row r="81" spans="1:13" s="475" customFormat="1" ht="11.25" customHeight="1" x14ac:dyDescent="0.25">
      <c r="A81" s="872"/>
      <c r="B81" s="481" t="s">
        <v>152</v>
      </c>
      <c r="C81" s="482" t="s">
        <v>548</v>
      </c>
      <c r="D81" s="479">
        <f>E81+K81+L81</f>
        <v>666</v>
      </c>
      <c r="E81" s="479">
        <v>666</v>
      </c>
      <c r="F81" s="470"/>
      <c r="G81" s="470"/>
      <c r="H81" s="470"/>
      <c r="I81" s="470"/>
      <c r="J81" s="470"/>
      <c r="K81" s="470"/>
      <c r="L81" s="470"/>
      <c r="M81" s="474"/>
    </row>
    <row r="82" spans="1:13" s="475" customFormat="1" x14ac:dyDescent="0.25">
      <c r="A82" s="470">
        <v>70</v>
      </c>
      <c r="B82" s="269" t="s">
        <v>194</v>
      </c>
      <c r="C82" s="482" t="s">
        <v>195</v>
      </c>
      <c r="D82" s="479">
        <f t="shared" si="1"/>
        <v>4725</v>
      </c>
      <c r="E82" s="479">
        <f>4739-8-1-1-1-1-2</f>
        <v>4725</v>
      </c>
      <c r="F82" s="470"/>
      <c r="G82" s="470"/>
      <c r="H82" s="470"/>
      <c r="I82" s="470"/>
      <c r="J82" s="470"/>
      <c r="K82" s="470"/>
      <c r="L82" s="470"/>
      <c r="M82" s="474"/>
    </row>
    <row r="83" spans="1:13" s="475" customFormat="1" x14ac:dyDescent="0.25">
      <c r="A83" s="470">
        <v>71</v>
      </c>
      <c r="B83" s="269" t="s">
        <v>196</v>
      </c>
      <c r="C83" s="482" t="s">
        <v>197</v>
      </c>
      <c r="D83" s="479">
        <f t="shared" si="1"/>
        <v>820</v>
      </c>
      <c r="E83" s="479">
        <v>820</v>
      </c>
      <c r="F83" s="470"/>
      <c r="G83" s="470"/>
      <c r="H83" s="470"/>
      <c r="I83" s="470"/>
      <c r="J83" s="470"/>
      <c r="K83" s="470"/>
      <c r="L83" s="470"/>
      <c r="M83" s="474"/>
    </row>
    <row r="84" spans="1:13" s="475" customFormat="1" x14ac:dyDescent="0.25">
      <c r="A84" s="470">
        <v>72</v>
      </c>
      <c r="B84" s="522" t="s">
        <v>30</v>
      </c>
      <c r="C84" s="521" t="s">
        <v>198</v>
      </c>
      <c r="D84" s="479">
        <f t="shared" si="1"/>
        <v>0</v>
      </c>
      <c r="E84" s="479"/>
      <c r="F84" s="470"/>
      <c r="G84" s="470"/>
      <c r="H84" s="470"/>
      <c r="I84" s="470"/>
      <c r="J84" s="470"/>
      <c r="K84" s="470"/>
      <c r="L84" s="470"/>
      <c r="M84" s="474"/>
    </row>
    <row r="85" spans="1:13" s="475" customFormat="1" ht="24" x14ac:dyDescent="0.25">
      <c r="A85" s="871">
        <v>73</v>
      </c>
      <c r="B85" s="868" t="s">
        <v>199</v>
      </c>
      <c r="C85" s="524" t="s">
        <v>200</v>
      </c>
      <c r="D85" s="479">
        <f t="shared" si="1"/>
        <v>2913</v>
      </c>
      <c r="E85" s="479">
        <v>2913</v>
      </c>
      <c r="F85" s="470"/>
      <c r="G85" s="470"/>
      <c r="H85" s="470"/>
      <c r="I85" s="470"/>
      <c r="J85" s="470"/>
      <c r="K85" s="470"/>
      <c r="L85" s="470"/>
      <c r="M85" s="474"/>
    </row>
    <row r="86" spans="1:13" s="475" customFormat="1" ht="48" x14ac:dyDescent="0.25">
      <c r="A86" s="873"/>
      <c r="B86" s="869"/>
      <c r="C86" s="521" t="s">
        <v>201</v>
      </c>
      <c r="D86" s="479">
        <f t="shared" si="1"/>
        <v>0</v>
      </c>
      <c r="E86" s="479"/>
      <c r="F86" s="470"/>
      <c r="G86" s="470"/>
      <c r="H86" s="470"/>
      <c r="I86" s="470"/>
      <c r="J86" s="470"/>
      <c r="K86" s="470"/>
      <c r="L86" s="470"/>
      <c r="M86" s="474"/>
    </row>
    <row r="87" spans="1:13" s="475" customFormat="1" ht="24" x14ac:dyDescent="0.25">
      <c r="A87" s="873"/>
      <c r="B87" s="869"/>
      <c r="C87" s="521" t="s">
        <v>202</v>
      </c>
      <c r="D87" s="479">
        <f t="shared" si="1"/>
        <v>0</v>
      </c>
      <c r="E87" s="479"/>
      <c r="F87" s="470"/>
      <c r="G87" s="470"/>
      <c r="H87" s="470"/>
      <c r="I87" s="470"/>
      <c r="J87" s="470"/>
      <c r="K87" s="470"/>
      <c r="L87" s="470"/>
      <c r="M87" s="474"/>
    </row>
    <row r="88" spans="1:13" s="475" customFormat="1" ht="36" x14ac:dyDescent="0.25">
      <c r="A88" s="872"/>
      <c r="B88" s="870"/>
      <c r="C88" s="57" t="s">
        <v>203</v>
      </c>
      <c r="D88" s="479">
        <f t="shared" si="1"/>
        <v>2913</v>
      </c>
      <c r="E88" s="479">
        <v>2913</v>
      </c>
      <c r="F88" s="470"/>
      <c r="G88" s="470"/>
      <c r="H88" s="470"/>
      <c r="I88" s="470"/>
      <c r="J88" s="470"/>
      <c r="K88" s="470"/>
      <c r="L88" s="470"/>
      <c r="M88" s="474"/>
    </row>
    <row r="89" spans="1:13" s="475" customFormat="1" ht="24" x14ac:dyDescent="0.25">
      <c r="A89" s="470">
        <v>74</v>
      </c>
      <c r="B89" s="522" t="s">
        <v>204</v>
      </c>
      <c r="C89" s="521" t="s">
        <v>205</v>
      </c>
      <c r="D89" s="479">
        <f t="shared" si="1"/>
        <v>0</v>
      </c>
      <c r="E89" s="479"/>
      <c r="F89" s="470"/>
      <c r="G89" s="470"/>
      <c r="H89" s="470"/>
      <c r="I89" s="470"/>
      <c r="J89" s="470"/>
      <c r="K89" s="470"/>
      <c r="L89" s="470"/>
      <c r="M89" s="474"/>
    </row>
    <row r="90" spans="1:13" s="475" customFormat="1" x14ac:dyDescent="0.25">
      <c r="A90" s="470">
        <v>75</v>
      </c>
      <c r="B90" s="269" t="s">
        <v>206</v>
      </c>
      <c r="C90" s="482" t="s">
        <v>207</v>
      </c>
      <c r="D90" s="479">
        <f t="shared" si="1"/>
        <v>193</v>
      </c>
      <c r="E90" s="479">
        <v>193</v>
      </c>
      <c r="F90" s="470"/>
      <c r="G90" s="470"/>
      <c r="H90" s="470"/>
      <c r="I90" s="470"/>
      <c r="J90" s="470"/>
      <c r="K90" s="470"/>
      <c r="L90" s="470"/>
      <c r="M90" s="474"/>
    </row>
    <row r="91" spans="1:13" s="475" customFormat="1" x14ac:dyDescent="0.25">
      <c r="A91" s="470">
        <v>76</v>
      </c>
      <c r="B91" s="481" t="s">
        <v>208</v>
      </c>
      <c r="C91" s="482" t="s">
        <v>209</v>
      </c>
      <c r="D91" s="479">
        <f t="shared" si="1"/>
        <v>1745</v>
      </c>
      <c r="E91" s="479">
        <v>1329</v>
      </c>
      <c r="F91" s="470"/>
      <c r="G91" s="470"/>
      <c r="H91" s="470"/>
      <c r="I91" s="470"/>
      <c r="J91" s="470"/>
      <c r="K91" s="470"/>
      <c r="L91" s="470">
        <v>416</v>
      </c>
      <c r="M91" s="474"/>
    </row>
    <row r="92" spans="1:13" s="475" customFormat="1" x14ac:dyDescent="0.25">
      <c r="A92" s="470">
        <v>77</v>
      </c>
      <c r="B92" s="483" t="s">
        <v>210</v>
      </c>
      <c r="C92" s="484" t="s">
        <v>211</v>
      </c>
      <c r="D92" s="479">
        <f t="shared" si="1"/>
        <v>671</v>
      </c>
      <c r="E92" s="479">
        <f>681-10</f>
        <v>671</v>
      </c>
      <c r="F92" s="470"/>
      <c r="G92" s="470"/>
      <c r="H92" s="470"/>
      <c r="I92" s="470"/>
      <c r="J92" s="470"/>
      <c r="K92" s="470"/>
      <c r="L92" s="470"/>
      <c r="M92" s="474"/>
    </row>
    <row r="93" spans="1:13" s="475" customFormat="1" x14ac:dyDescent="0.25">
      <c r="A93" s="470">
        <v>78</v>
      </c>
      <c r="B93" s="269" t="s">
        <v>212</v>
      </c>
      <c r="C93" s="482" t="s">
        <v>213</v>
      </c>
      <c r="D93" s="479">
        <f t="shared" si="1"/>
        <v>720</v>
      </c>
      <c r="E93" s="479">
        <f>721-1</f>
        <v>720</v>
      </c>
      <c r="F93" s="470"/>
      <c r="G93" s="470"/>
      <c r="H93" s="470"/>
      <c r="I93" s="470"/>
      <c r="J93" s="470"/>
      <c r="K93" s="470"/>
      <c r="L93" s="470"/>
      <c r="M93" s="474"/>
    </row>
    <row r="94" spans="1:13" s="475" customFormat="1" x14ac:dyDescent="0.25">
      <c r="A94" s="470">
        <v>79</v>
      </c>
      <c r="B94" s="269" t="s">
        <v>214</v>
      </c>
      <c r="C94" s="482" t="s">
        <v>215</v>
      </c>
      <c r="D94" s="479">
        <f t="shared" si="1"/>
        <v>2058</v>
      </c>
      <c r="E94" s="479">
        <f>2059-1</f>
        <v>2058</v>
      </c>
      <c r="F94" s="470"/>
      <c r="G94" s="470"/>
      <c r="H94" s="470"/>
      <c r="I94" s="470"/>
      <c r="J94" s="470"/>
      <c r="K94" s="470"/>
      <c r="L94" s="470"/>
      <c r="M94" s="474"/>
    </row>
    <row r="95" spans="1:13" s="475" customFormat="1" ht="13.5" customHeight="1" x14ac:dyDescent="0.25">
      <c r="A95" s="470">
        <v>80</v>
      </c>
      <c r="B95" s="483" t="s">
        <v>216</v>
      </c>
      <c r="C95" s="484" t="s">
        <v>217</v>
      </c>
      <c r="D95" s="479">
        <f t="shared" si="1"/>
        <v>841</v>
      </c>
      <c r="E95" s="479">
        <f>842-1</f>
        <v>841</v>
      </c>
      <c r="F95" s="470"/>
      <c r="G95" s="470"/>
      <c r="H95" s="470"/>
      <c r="I95" s="470"/>
      <c r="J95" s="470"/>
      <c r="K95" s="470"/>
      <c r="L95" s="470"/>
      <c r="M95" s="474"/>
    </row>
    <row r="96" spans="1:13" s="475" customFormat="1" x14ac:dyDescent="0.25">
      <c r="A96" s="470">
        <v>81</v>
      </c>
      <c r="B96" s="483" t="s">
        <v>218</v>
      </c>
      <c r="C96" s="484" t="s">
        <v>219</v>
      </c>
      <c r="D96" s="479">
        <f t="shared" si="1"/>
        <v>2689</v>
      </c>
      <c r="E96" s="479">
        <f>2694-2-3</f>
        <v>2689</v>
      </c>
      <c r="F96" s="470"/>
      <c r="G96" s="470"/>
      <c r="H96" s="470"/>
      <c r="I96" s="470"/>
      <c r="J96" s="470"/>
      <c r="K96" s="470"/>
      <c r="L96" s="470"/>
      <c r="M96" s="474"/>
    </row>
    <row r="97" spans="1:13" s="475" customFormat="1" x14ac:dyDescent="0.25">
      <c r="A97" s="470">
        <v>82</v>
      </c>
      <c r="B97" s="269" t="s">
        <v>220</v>
      </c>
      <c r="C97" s="482" t="s">
        <v>221</v>
      </c>
      <c r="D97" s="479">
        <f t="shared" si="1"/>
        <v>1922</v>
      </c>
      <c r="E97" s="479">
        <v>1922</v>
      </c>
      <c r="F97" s="470"/>
      <c r="G97" s="470"/>
      <c r="H97" s="470"/>
      <c r="I97" s="470"/>
      <c r="J97" s="470"/>
      <c r="K97" s="470"/>
      <c r="L97" s="470"/>
      <c r="M97" s="474"/>
    </row>
    <row r="98" spans="1:13" s="475" customFormat="1" ht="12" customHeight="1" x14ac:dyDescent="0.25">
      <c r="A98" s="470">
        <v>83</v>
      </c>
      <c r="B98" s="481" t="s">
        <v>222</v>
      </c>
      <c r="C98" s="482" t="s">
        <v>223</v>
      </c>
      <c r="D98" s="479">
        <f t="shared" si="1"/>
        <v>653</v>
      </c>
      <c r="E98" s="479">
        <v>653</v>
      </c>
      <c r="F98" s="470"/>
      <c r="G98" s="470"/>
      <c r="H98" s="470"/>
      <c r="I98" s="470"/>
      <c r="J98" s="470"/>
      <c r="K98" s="470"/>
      <c r="L98" s="470"/>
      <c r="M98" s="474"/>
    </row>
    <row r="99" spans="1:13" s="475" customFormat="1" x14ac:dyDescent="0.25">
      <c r="A99" s="470">
        <v>84</v>
      </c>
      <c r="B99" s="269" t="s">
        <v>224</v>
      </c>
      <c r="C99" s="480" t="s">
        <v>225</v>
      </c>
      <c r="D99" s="479">
        <f t="shared" si="1"/>
        <v>1029</v>
      </c>
      <c r="E99" s="479">
        <v>1029</v>
      </c>
      <c r="F99" s="470"/>
      <c r="G99" s="470"/>
      <c r="H99" s="470"/>
      <c r="I99" s="470"/>
      <c r="J99" s="470"/>
      <c r="K99" s="470"/>
      <c r="L99" s="470"/>
      <c r="M99" s="474"/>
    </row>
    <row r="100" spans="1:13" s="475" customFormat="1" x14ac:dyDescent="0.25">
      <c r="A100" s="470">
        <v>85</v>
      </c>
      <c r="B100" s="269" t="s">
        <v>226</v>
      </c>
      <c r="C100" s="484" t="s">
        <v>227</v>
      </c>
      <c r="D100" s="479">
        <f t="shared" si="1"/>
        <v>979</v>
      </c>
      <c r="E100" s="479">
        <v>979</v>
      </c>
      <c r="F100" s="470"/>
      <c r="G100" s="470"/>
      <c r="H100" s="470"/>
      <c r="I100" s="470"/>
      <c r="J100" s="470"/>
      <c r="K100" s="470"/>
      <c r="L100" s="470"/>
      <c r="M100" s="474"/>
    </row>
    <row r="101" spans="1:13" s="475" customFormat="1" x14ac:dyDescent="0.25">
      <c r="A101" s="470">
        <v>86</v>
      </c>
      <c r="B101" s="481" t="s">
        <v>32</v>
      </c>
      <c r="C101" s="482" t="s">
        <v>33</v>
      </c>
      <c r="D101" s="479">
        <f t="shared" si="1"/>
        <v>1813</v>
      </c>
      <c r="E101" s="479">
        <f>1239+174</f>
        <v>1413</v>
      </c>
      <c r="F101" s="470"/>
      <c r="G101" s="470"/>
      <c r="H101" s="470">
        <f>0+174</f>
        <v>174</v>
      </c>
      <c r="I101" s="470"/>
      <c r="J101" s="470">
        <v>30</v>
      </c>
      <c r="K101" s="470"/>
      <c r="L101" s="470">
        <f>300+100</f>
        <v>400</v>
      </c>
      <c r="M101" s="474"/>
    </row>
    <row r="102" spans="1:13" s="475" customFormat="1" x14ac:dyDescent="0.25">
      <c r="A102" s="470">
        <v>87</v>
      </c>
      <c r="B102" s="269" t="s">
        <v>228</v>
      </c>
      <c r="C102" s="489" t="s">
        <v>229</v>
      </c>
      <c r="D102" s="479">
        <f t="shared" si="1"/>
        <v>751</v>
      </c>
      <c r="E102" s="479">
        <f>754-1-2</f>
        <v>751</v>
      </c>
      <c r="F102" s="470"/>
      <c r="G102" s="470"/>
      <c r="H102" s="470"/>
      <c r="I102" s="470"/>
      <c r="J102" s="470"/>
      <c r="K102" s="470"/>
      <c r="L102" s="470"/>
      <c r="M102" s="474"/>
    </row>
    <row r="103" spans="1:13" s="475" customFormat="1" x14ac:dyDescent="0.25">
      <c r="A103" s="470">
        <v>88</v>
      </c>
      <c r="B103" s="481" t="s">
        <v>230</v>
      </c>
      <c r="C103" s="482" t="s">
        <v>231</v>
      </c>
      <c r="D103" s="479">
        <f t="shared" si="1"/>
        <v>1958</v>
      </c>
      <c r="E103" s="479">
        <f>1959-1</f>
        <v>1958</v>
      </c>
      <c r="F103" s="470"/>
      <c r="G103" s="470"/>
      <c r="H103" s="470"/>
      <c r="I103" s="470"/>
      <c r="J103" s="470"/>
      <c r="K103" s="470"/>
      <c r="L103" s="470"/>
      <c r="M103" s="474"/>
    </row>
    <row r="104" spans="1:13" s="475" customFormat="1" x14ac:dyDescent="0.25">
      <c r="A104" s="470">
        <v>89</v>
      </c>
      <c r="B104" s="481">
        <v>20251</v>
      </c>
      <c r="C104" s="482" t="s">
        <v>725</v>
      </c>
      <c r="D104" s="479">
        <f t="shared" si="1"/>
        <v>95</v>
      </c>
      <c r="E104" s="479">
        <f>50+19+26</f>
        <v>95</v>
      </c>
      <c r="F104" s="470"/>
      <c r="G104" s="470"/>
      <c r="H104" s="470"/>
      <c r="I104" s="470">
        <f>50+19+26</f>
        <v>95</v>
      </c>
      <c r="J104" s="470"/>
      <c r="K104" s="470"/>
      <c r="L104" s="470"/>
      <c r="M104" s="474"/>
    </row>
    <row r="105" spans="1:13" s="475" customFormat="1" x14ac:dyDescent="0.25">
      <c r="A105" s="470">
        <v>90</v>
      </c>
      <c r="B105" s="269" t="s">
        <v>234</v>
      </c>
      <c r="C105" s="480" t="s">
        <v>235</v>
      </c>
      <c r="D105" s="479">
        <f t="shared" si="1"/>
        <v>950</v>
      </c>
      <c r="E105" s="479">
        <f>900+50</f>
        <v>950</v>
      </c>
      <c r="F105" s="470"/>
      <c r="G105" s="470">
        <f>900+50</f>
        <v>950</v>
      </c>
      <c r="H105" s="470"/>
      <c r="I105" s="470"/>
      <c r="J105" s="470"/>
      <c r="K105" s="470"/>
      <c r="L105" s="470"/>
      <c r="M105" s="474"/>
    </row>
    <row r="106" spans="1:13" s="475" customFormat="1" x14ac:dyDescent="0.25">
      <c r="A106" s="470">
        <v>91</v>
      </c>
      <c r="B106" s="520" t="s">
        <v>236</v>
      </c>
      <c r="C106" s="521" t="s">
        <v>237</v>
      </c>
      <c r="D106" s="479">
        <f t="shared" si="1"/>
        <v>0</v>
      </c>
      <c r="E106" s="479"/>
      <c r="F106" s="470"/>
      <c r="G106" s="470"/>
      <c r="H106" s="470"/>
      <c r="I106" s="470"/>
      <c r="J106" s="470"/>
      <c r="K106" s="470"/>
      <c r="L106" s="470"/>
      <c r="M106" s="474"/>
    </row>
    <row r="107" spans="1:13" s="475" customFormat="1" x14ac:dyDescent="0.25">
      <c r="A107" s="470">
        <v>92</v>
      </c>
      <c r="B107" s="483" t="s">
        <v>238</v>
      </c>
      <c r="C107" s="484" t="s">
        <v>239</v>
      </c>
      <c r="D107" s="479">
        <f t="shared" si="1"/>
        <v>5</v>
      </c>
      <c r="E107" s="479">
        <v>5</v>
      </c>
      <c r="F107" s="470"/>
      <c r="G107" s="470"/>
      <c r="H107" s="470"/>
      <c r="I107" s="470"/>
      <c r="J107" s="470"/>
      <c r="K107" s="470"/>
      <c r="L107" s="470"/>
      <c r="M107" s="474"/>
    </row>
    <row r="108" spans="1:13" s="475" customFormat="1" ht="24" customHeight="1" x14ac:dyDescent="0.25">
      <c r="A108" s="470">
        <v>93</v>
      </c>
      <c r="B108" s="269" t="s">
        <v>240</v>
      </c>
      <c r="C108" s="480" t="s">
        <v>241</v>
      </c>
      <c r="D108" s="479">
        <f t="shared" si="1"/>
        <v>5</v>
      </c>
      <c r="E108" s="479">
        <v>5</v>
      </c>
      <c r="F108" s="470"/>
      <c r="G108" s="470"/>
      <c r="H108" s="470"/>
      <c r="I108" s="470"/>
      <c r="J108" s="470"/>
      <c r="K108" s="470"/>
      <c r="L108" s="470"/>
      <c r="M108" s="474"/>
    </row>
    <row r="109" spans="1:13" s="475" customFormat="1" ht="16.5" customHeight="1" x14ac:dyDescent="0.25">
      <c r="A109" s="470">
        <v>94</v>
      </c>
      <c r="B109" s="520" t="s">
        <v>242</v>
      </c>
      <c r="C109" s="521" t="s">
        <v>243</v>
      </c>
      <c r="D109" s="479">
        <f t="shared" si="1"/>
        <v>0</v>
      </c>
      <c r="E109" s="479"/>
      <c r="F109" s="470"/>
      <c r="G109" s="470"/>
      <c r="H109" s="470"/>
      <c r="I109" s="470"/>
      <c r="J109" s="470"/>
      <c r="K109" s="470"/>
      <c r="L109" s="470"/>
      <c r="M109" s="474"/>
    </row>
    <row r="110" spans="1:13" s="475" customFormat="1" x14ac:dyDescent="0.25">
      <c r="A110" s="470">
        <v>95</v>
      </c>
      <c r="B110" s="481" t="s">
        <v>244</v>
      </c>
      <c r="C110" s="482" t="s">
        <v>245</v>
      </c>
      <c r="D110" s="479">
        <f t="shared" si="1"/>
        <v>673</v>
      </c>
      <c r="E110" s="479">
        <f>600+29+23+21</f>
        <v>673</v>
      </c>
      <c r="F110" s="470"/>
      <c r="G110" s="470"/>
      <c r="H110" s="470"/>
      <c r="I110" s="470">
        <f>600+29+23+21</f>
        <v>673</v>
      </c>
      <c r="J110" s="470"/>
      <c r="K110" s="470"/>
      <c r="L110" s="470"/>
      <c r="M110" s="474"/>
    </row>
    <row r="111" spans="1:13" s="475" customFormat="1" x14ac:dyDescent="0.25">
      <c r="A111" s="470">
        <v>96</v>
      </c>
      <c r="B111" s="525" t="s">
        <v>246</v>
      </c>
      <c r="C111" s="526" t="s">
        <v>247</v>
      </c>
      <c r="D111" s="479">
        <f t="shared" si="1"/>
        <v>0</v>
      </c>
      <c r="E111" s="479"/>
      <c r="F111" s="470"/>
      <c r="G111" s="470"/>
      <c r="H111" s="470"/>
      <c r="I111" s="470"/>
      <c r="J111" s="470"/>
      <c r="K111" s="470"/>
      <c r="L111" s="470"/>
      <c r="M111" s="474"/>
    </row>
    <row r="112" spans="1:13" s="475" customFormat="1" x14ac:dyDescent="0.25">
      <c r="A112" s="470">
        <v>97</v>
      </c>
      <c r="B112" s="269" t="s">
        <v>248</v>
      </c>
      <c r="C112" s="480" t="s">
        <v>249</v>
      </c>
      <c r="D112" s="479">
        <f t="shared" si="1"/>
        <v>336</v>
      </c>
      <c r="E112" s="479">
        <f>356-20</f>
        <v>336</v>
      </c>
      <c r="F112" s="470">
        <v>56</v>
      </c>
      <c r="G112" s="470">
        <f>300-20</f>
        <v>280</v>
      </c>
      <c r="H112" s="470"/>
      <c r="I112" s="470"/>
      <c r="J112" s="470"/>
      <c r="K112" s="470"/>
      <c r="L112" s="470"/>
      <c r="M112" s="474"/>
    </row>
    <row r="113" spans="1:13" s="475" customFormat="1" x14ac:dyDescent="0.25">
      <c r="A113" s="470">
        <v>98</v>
      </c>
      <c r="B113" s="520" t="s">
        <v>250</v>
      </c>
      <c r="C113" s="521" t="s">
        <v>251</v>
      </c>
      <c r="D113" s="479">
        <f t="shared" si="1"/>
        <v>0</v>
      </c>
      <c r="E113" s="479"/>
      <c r="F113" s="470"/>
      <c r="G113" s="470"/>
      <c r="H113" s="470"/>
      <c r="I113" s="470"/>
      <c r="J113" s="470"/>
      <c r="K113" s="470"/>
      <c r="L113" s="470"/>
      <c r="M113" s="474"/>
    </row>
    <row r="114" spans="1:13" s="475" customFormat="1" x14ac:dyDescent="0.25">
      <c r="A114" s="470">
        <v>99</v>
      </c>
      <c r="B114" s="269" t="s">
        <v>252</v>
      </c>
      <c r="C114" s="480" t="s">
        <v>253</v>
      </c>
      <c r="D114" s="479">
        <f t="shared" si="1"/>
        <v>125</v>
      </c>
      <c r="E114" s="479">
        <f>150-25</f>
        <v>125</v>
      </c>
      <c r="F114" s="470"/>
      <c r="G114" s="470">
        <f>150-25</f>
        <v>125</v>
      </c>
      <c r="H114" s="470"/>
      <c r="I114" s="470"/>
      <c r="J114" s="470"/>
      <c r="K114" s="470"/>
      <c r="L114" s="470"/>
      <c r="M114" s="474"/>
    </row>
    <row r="115" spans="1:13" s="475" customFormat="1" ht="15.75" customHeight="1" x14ac:dyDescent="0.25">
      <c r="A115" s="470">
        <v>100</v>
      </c>
      <c r="B115" s="481" t="s">
        <v>254</v>
      </c>
      <c r="C115" s="271" t="s">
        <v>255</v>
      </c>
      <c r="D115" s="479">
        <f t="shared" si="1"/>
        <v>5</v>
      </c>
      <c r="E115" s="479">
        <v>5</v>
      </c>
      <c r="F115" s="470"/>
      <c r="G115" s="470"/>
      <c r="H115" s="470"/>
      <c r="I115" s="470"/>
      <c r="J115" s="470"/>
      <c r="K115" s="470"/>
      <c r="L115" s="470"/>
      <c r="M115" s="474"/>
    </row>
    <row r="116" spans="1:13" s="475" customFormat="1" x14ac:dyDescent="0.25">
      <c r="A116" s="470">
        <v>101</v>
      </c>
      <c r="B116" s="481" t="s">
        <v>256</v>
      </c>
      <c r="C116" s="482" t="s">
        <v>257</v>
      </c>
      <c r="D116" s="479">
        <f t="shared" si="1"/>
        <v>5</v>
      </c>
      <c r="E116" s="479">
        <v>5</v>
      </c>
      <c r="F116" s="470"/>
      <c r="G116" s="470"/>
      <c r="H116" s="470"/>
      <c r="I116" s="470"/>
      <c r="J116" s="470"/>
      <c r="K116" s="470"/>
      <c r="L116" s="470"/>
      <c r="M116" s="474"/>
    </row>
    <row r="117" spans="1:13" s="475" customFormat="1" x14ac:dyDescent="0.25">
      <c r="A117" s="470">
        <v>102</v>
      </c>
      <c r="B117" s="523" t="s">
        <v>258</v>
      </c>
      <c r="C117" s="521" t="s">
        <v>259</v>
      </c>
      <c r="D117" s="479">
        <f t="shared" si="1"/>
        <v>0</v>
      </c>
      <c r="E117" s="479"/>
      <c r="F117" s="470"/>
      <c r="G117" s="470"/>
      <c r="H117" s="470"/>
      <c r="I117" s="470"/>
      <c r="J117" s="470"/>
      <c r="K117" s="470"/>
      <c r="L117" s="470"/>
      <c r="M117" s="474"/>
    </row>
    <row r="118" spans="1:13" s="475" customFormat="1" x14ac:dyDescent="0.25">
      <c r="A118" s="470">
        <v>103</v>
      </c>
      <c r="B118" s="493" t="s">
        <v>542</v>
      </c>
      <c r="C118" s="526" t="s">
        <v>543</v>
      </c>
      <c r="D118" s="479">
        <f t="shared" si="1"/>
        <v>0</v>
      </c>
      <c r="E118" s="479"/>
      <c r="F118" s="470"/>
      <c r="G118" s="470"/>
      <c r="H118" s="470"/>
      <c r="I118" s="470"/>
      <c r="J118" s="470"/>
      <c r="K118" s="470"/>
      <c r="L118" s="470"/>
      <c r="M118" s="474"/>
    </row>
    <row r="119" spans="1:13" s="475" customFormat="1" x14ac:dyDescent="0.25">
      <c r="A119" s="470">
        <v>104</v>
      </c>
      <c r="B119" s="490" t="s">
        <v>260</v>
      </c>
      <c r="C119" s="271" t="s">
        <v>261</v>
      </c>
      <c r="D119" s="479">
        <f t="shared" si="1"/>
        <v>375</v>
      </c>
      <c r="E119" s="479">
        <f>442-67</f>
        <v>375</v>
      </c>
      <c r="F119" s="470"/>
      <c r="G119" s="470">
        <f>442-67</f>
        <v>375</v>
      </c>
      <c r="H119" s="470"/>
      <c r="I119" s="470"/>
      <c r="J119" s="470"/>
      <c r="K119" s="470"/>
      <c r="L119" s="470"/>
      <c r="M119" s="474"/>
    </row>
    <row r="120" spans="1:13" s="475" customFormat="1" x14ac:dyDescent="0.25">
      <c r="A120" s="470">
        <v>105</v>
      </c>
      <c r="B120" s="520" t="s">
        <v>262</v>
      </c>
      <c r="C120" s="521" t="s">
        <v>263</v>
      </c>
      <c r="D120" s="479">
        <f t="shared" si="1"/>
        <v>0</v>
      </c>
      <c r="E120" s="479"/>
      <c r="F120" s="470"/>
      <c r="G120" s="470"/>
      <c r="H120" s="470"/>
      <c r="I120" s="470"/>
      <c r="J120" s="470"/>
      <c r="K120" s="470"/>
      <c r="L120" s="470"/>
      <c r="M120" s="474"/>
    </row>
    <row r="121" spans="1:13" s="475" customFormat="1" ht="25.5" customHeight="1" x14ac:dyDescent="0.25">
      <c r="A121" s="470">
        <v>106</v>
      </c>
      <c r="B121" s="481" t="s">
        <v>264</v>
      </c>
      <c r="C121" s="482" t="s">
        <v>265</v>
      </c>
      <c r="D121" s="479">
        <f t="shared" si="1"/>
        <v>4</v>
      </c>
      <c r="E121" s="479">
        <v>4</v>
      </c>
      <c r="F121" s="470"/>
      <c r="G121" s="470"/>
      <c r="H121" s="470"/>
      <c r="I121" s="470"/>
      <c r="J121" s="470"/>
      <c r="K121" s="470"/>
      <c r="L121" s="470"/>
      <c r="M121" s="474"/>
    </row>
    <row r="122" spans="1:13" s="475" customFormat="1" ht="14.25" customHeight="1" x14ac:dyDescent="0.25">
      <c r="A122" s="470">
        <v>107</v>
      </c>
      <c r="B122" s="269" t="s">
        <v>266</v>
      </c>
      <c r="C122" s="482" t="s">
        <v>267</v>
      </c>
      <c r="D122" s="479">
        <f t="shared" si="1"/>
        <v>2350</v>
      </c>
      <c r="E122" s="479">
        <v>2350</v>
      </c>
      <c r="F122" s="470">
        <v>350</v>
      </c>
      <c r="G122" s="470"/>
      <c r="H122" s="470"/>
      <c r="I122" s="470">
        <v>20</v>
      </c>
      <c r="J122" s="470"/>
      <c r="K122" s="470"/>
      <c r="L122" s="470"/>
      <c r="M122" s="474"/>
    </row>
    <row r="123" spans="1:13" s="475" customFormat="1" x14ac:dyDescent="0.25">
      <c r="A123" s="470">
        <v>108</v>
      </c>
      <c r="B123" s="481" t="s">
        <v>268</v>
      </c>
      <c r="C123" s="482" t="s">
        <v>269</v>
      </c>
      <c r="D123" s="479">
        <f t="shared" si="1"/>
        <v>51477</v>
      </c>
      <c r="E123" s="479">
        <f>51288+80</f>
        <v>51368</v>
      </c>
      <c r="F123" s="470">
        <v>51288</v>
      </c>
      <c r="G123" s="470"/>
      <c r="H123" s="470"/>
      <c r="I123" s="470"/>
      <c r="J123" s="470"/>
      <c r="K123" s="470">
        <v>109</v>
      </c>
      <c r="L123" s="470"/>
      <c r="M123" s="474"/>
    </row>
    <row r="124" spans="1:13" s="475" customFormat="1" ht="13.5" customHeight="1" x14ac:dyDescent="0.25">
      <c r="A124" s="470">
        <v>109</v>
      </c>
      <c r="B124" s="481" t="s">
        <v>270</v>
      </c>
      <c r="C124" s="482" t="s">
        <v>271</v>
      </c>
      <c r="D124" s="479">
        <f t="shared" si="1"/>
        <v>930</v>
      </c>
      <c r="E124" s="479">
        <v>930</v>
      </c>
      <c r="F124" s="470"/>
      <c r="G124" s="470"/>
      <c r="H124" s="470"/>
      <c r="I124" s="470"/>
      <c r="J124" s="470"/>
      <c r="K124" s="470"/>
      <c r="L124" s="470"/>
      <c r="M124" s="474"/>
    </row>
    <row r="125" spans="1:13" s="475" customFormat="1" x14ac:dyDescent="0.25">
      <c r="A125" s="470">
        <v>110</v>
      </c>
      <c r="B125" s="269" t="s">
        <v>272</v>
      </c>
      <c r="C125" s="482" t="s">
        <v>273</v>
      </c>
      <c r="D125" s="479">
        <f t="shared" si="1"/>
        <v>4619</v>
      </c>
      <c r="E125" s="479">
        <v>4119</v>
      </c>
      <c r="F125" s="470">
        <v>323</v>
      </c>
      <c r="G125" s="470"/>
      <c r="H125" s="470"/>
      <c r="I125" s="470"/>
      <c r="J125" s="470">
        <v>200</v>
      </c>
      <c r="K125" s="470"/>
      <c r="L125" s="470">
        <v>500</v>
      </c>
      <c r="M125" s="474"/>
    </row>
    <row r="126" spans="1:13" s="475" customFormat="1" x14ac:dyDescent="0.25">
      <c r="A126" s="470">
        <v>111</v>
      </c>
      <c r="B126" s="481" t="s">
        <v>274</v>
      </c>
      <c r="C126" s="482" t="s">
        <v>275</v>
      </c>
      <c r="D126" s="479">
        <f t="shared" si="1"/>
        <v>2167</v>
      </c>
      <c r="E126" s="479">
        <v>2167</v>
      </c>
      <c r="F126" s="470"/>
      <c r="G126" s="470"/>
      <c r="H126" s="470"/>
      <c r="I126" s="470"/>
      <c r="J126" s="470"/>
      <c r="K126" s="470"/>
      <c r="L126" s="470"/>
      <c r="M126" s="474"/>
    </row>
    <row r="127" spans="1:13" s="475" customFormat="1" ht="12.75" customHeight="1" x14ac:dyDescent="0.25">
      <c r="A127" s="470">
        <v>112</v>
      </c>
      <c r="B127" s="269" t="s">
        <v>276</v>
      </c>
      <c r="C127" s="480" t="s">
        <v>277</v>
      </c>
      <c r="D127" s="479">
        <f t="shared" si="1"/>
        <v>3043</v>
      </c>
      <c r="E127" s="479">
        <v>3043</v>
      </c>
      <c r="F127" s="470"/>
      <c r="G127" s="470"/>
      <c r="H127" s="470"/>
      <c r="I127" s="470"/>
      <c r="J127" s="470">
        <v>300</v>
      </c>
      <c r="K127" s="470"/>
      <c r="L127" s="470"/>
      <c r="M127" s="474"/>
    </row>
    <row r="128" spans="1:13" s="475" customFormat="1" x14ac:dyDescent="0.25">
      <c r="A128" s="470">
        <v>113</v>
      </c>
      <c r="B128" s="269" t="s">
        <v>278</v>
      </c>
      <c r="C128" s="480" t="s">
        <v>279</v>
      </c>
      <c r="D128" s="479">
        <f t="shared" si="1"/>
        <v>2741</v>
      </c>
      <c r="E128" s="479">
        <f>2679+62</f>
        <v>2741</v>
      </c>
      <c r="F128" s="470"/>
      <c r="G128" s="470">
        <f>1050+62</f>
        <v>1112</v>
      </c>
      <c r="H128" s="470"/>
      <c r="I128" s="470"/>
      <c r="J128" s="470"/>
      <c r="K128" s="470"/>
      <c r="L128" s="470"/>
      <c r="M128" s="474"/>
    </row>
    <row r="129" spans="1:13" s="475" customFormat="1" x14ac:dyDescent="0.25">
      <c r="A129" s="470">
        <v>114</v>
      </c>
      <c r="B129" s="481" t="s">
        <v>280</v>
      </c>
      <c r="C129" s="482" t="s">
        <v>281</v>
      </c>
      <c r="D129" s="479">
        <f t="shared" si="1"/>
        <v>2572</v>
      </c>
      <c r="E129" s="479">
        <v>0</v>
      </c>
      <c r="F129" s="470"/>
      <c r="G129" s="470"/>
      <c r="H129" s="470"/>
      <c r="I129" s="470"/>
      <c r="J129" s="470"/>
      <c r="K129" s="470"/>
      <c r="L129" s="470">
        <f>2672-100</f>
        <v>2572</v>
      </c>
      <c r="M129" s="474"/>
    </row>
    <row r="130" spans="1:13" s="475" customFormat="1" x14ac:dyDescent="0.25">
      <c r="A130" s="470">
        <v>115</v>
      </c>
      <c r="B130" s="481" t="s">
        <v>282</v>
      </c>
      <c r="C130" s="482" t="s">
        <v>783</v>
      </c>
      <c r="D130" s="479">
        <f t="shared" si="1"/>
        <v>2602</v>
      </c>
      <c r="E130" s="479">
        <v>852</v>
      </c>
      <c r="F130" s="470"/>
      <c r="G130" s="470"/>
      <c r="H130" s="470"/>
      <c r="I130" s="470"/>
      <c r="J130" s="470"/>
      <c r="K130" s="470"/>
      <c r="L130" s="470">
        <v>1750</v>
      </c>
      <c r="M130" s="474"/>
    </row>
    <row r="131" spans="1:13" s="475" customFormat="1" ht="13.5" customHeight="1" x14ac:dyDescent="0.25">
      <c r="A131" s="470">
        <v>116</v>
      </c>
      <c r="B131" s="481" t="s">
        <v>283</v>
      </c>
      <c r="C131" s="482" t="s">
        <v>284</v>
      </c>
      <c r="D131" s="479">
        <f t="shared" si="1"/>
        <v>2337</v>
      </c>
      <c r="E131" s="479">
        <f>2350-8-1-1-1-2</f>
        <v>2337</v>
      </c>
      <c r="F131" s="470"/>
      <c r="G131" s="491"/>
      <c r="H131" s="492"/>
      <c r="I131" s="492"/>
      <c r="J131" s="470"/>
      <c r="K131" s="470"/>
      <c r="L131" s="470"/>
      <c r="M131" s="474"/>
    </row>
    <row r="132" spans="1:13" s="475" customFormat="1" ht="24" x14ac:dyDescent="0.25">
      <c r="A132" s="470">
        <v>117</v>
      </c>
      <c r="B132" s="481" t="s">
        <v>285</v>
      </c>
      <c r="C132" s="521" t="s">
        <v>803</v>
      </c>
      <c r="D132" s="479">
        <f t="shared" si="1"/>
        <v>4536</v>
      </c>
      <c r="E132" s="479">
        <v>4092</v>
      </c>
      <c r="F132" s="470"/>
      <c r="G132" s="470"/>
      <c r="H132" s="470"/>
      <c r="I132" s="470"/>
      <c r="J132" s="470"/>
      <c r="K132" s="470"/>
      <c r="L132" s="470">
        <v>444</v>
      </c>
      <c r="M132" s="474"/>
    </row>
    <row r="133" spans="1:13" s="475" customFormat="1" x14ac:dyDescent="0.25">
      <c r="A133" s="470">
        <v>118</v>
      </c>
      <c r="B133" s="481" t="s">
        <v>286</v>
      </c>
      <c r="C133" s="482" t="s">
        <v>287</v>
      </c>
      <c r="D133" s="479">
        <f t="shared" si="1"/>
        <v>3501</v>
      </c>
      <c r="E133" s="479">
        <f>4860-1399+40</f>
        <v>3501</v>
      </c>
      <c r="F133" s="470"/>
      <c r="G133" s="470"/>
      <c r="H133" s="470">
        <v>3461</v>
      </c>
      <c r="I133" s="470"/>
      <c r="J133" s="470"/>
      <c r="K133" s="470"/>
      <c r="L133" s="470"/>
      <c r="M133" s="474"/>
    </row>
    <row r="134" spans="1:13" s="475" customFormat="1" x14ac:dyDescent="0.25">
      <c r="A134" s="470">
        <v>119</v>
      </c>
      <c r="B134" s="523" t="s">
        <v>288</v>
      </c>
      <c r="C134" s="521" t="s">
        <v>289</v>
      </c>
      <c r="D134" s="479">
        <f t="shared" si="1"/>
        <v>0</v>
      </c>
      <c r="E134" s="479"/>
      <c r="F134" s="470"/>
      <c r="G134" s="470"/>
      <c r="H134" s="470"/>
      <c r="I134" s="470"/>
      <c r="J134" s="470"/>
      <c r="K134" s="470"/>
      <c r="L134" s="470"/>
      <c r="M134" s="474"/>
    </row>
    <row r="135" spans="1:13" s="475" customFormat="1" ht="13.5" customHeight="1" x14ac:dyDescent="0.25">
      <c r="A135" s="470">
        <v>120</v>
      </c>
      <c r="B135" s="481" t="s">
        <v>290</v>
      </c>
      <c r="C135" s="482" t="s">
        <v>291</v>
      </c>
      <c r="D135" s="479">
        <f t="shared" ref="D135:D142" si="2">E135+K135+L135</f>
        <v>2110</v>
      </c>
      <c r="E135" s="479">
        <v>2000</v>
      </c>
      <c r="F135" s="470">
        <v>2000</v>
      </c>
      <c r="G135" s="470"/>
      <c r="H135" s="470"/>
      <c r="I135" s="470"/>
      <c r="J135" s="470"/>
      <c r="K135" s="470">
        <v>110</v>
      </c>
      <c r="L135" s="470"/>
      <c r="M135" s="474"/>
    </row>
    <row r="136" spans="1:13" s="475" customFormat="1" ht="13.5" customHeight="1" x14ac:dyDescent="0.25">
      <c r="A136" s="470">
        <v>121</v>
      </c>
      <c r="B136" s="527" t="s">
        <v>292</v>
      </c>
      <c r="C136" s="528" t="s">
        <v>293</v>
      </c>
      <c r="D136" s="479">
        <f t="shared" si="2"/>
        <v>0</v>
      </c>
      <c r="E136" s="479"/>
      <c r="F136" s="470"/>
      <c r="G136" s="470"/>
      <c r="H136" s="470"/>
      <c r="I136" s="470"/>
      <c r="J136" s="470"/>
      <c r="K136" s="470"/>
      <c r="L136" s="470"/>
      <c r="M136" s="474"/>
    </row>
    <row r="137" spans="1:13" s="475" customFormat="1" ht="13.5" customHeight="1" x14ac:dyDescent="0.25">
      <c r="A137" s="470">
        <v>122</v>
      </c>
      <c r="B137" s="529" t="s">
        <v>294</v>
      </c>
      <c r="C137" s="530" t="s">
        <v>295</v>
      </c>
      <c r="D137" s="479">
        <f t="shared" si="2"/>
        <v>0</v>
      </c>
      <c r="E137" s="479"/>
      <c r="F137" s="470"/>
      <c r="G137" s="470"/>
      <c r="H137" s="470"/>
      <c r="I137" s="470"/>
      <c r="J137" s="470"/>
      <c r="K137" s="470"/>
      <c r="L137" s="470"/>
      <c r="M137" s="474"/>
    </row>
    <row r="138" spans="1:13" s="475" customFormat="1" ht="13.5" customHeight="1" x14ac:dyDescent="0.2">
      <c r="A138" s="470">
        <v>123</v>
      </c>
      <c r="B138" s="531" t="s">
        <v>296</v>
      </c>
      <c r="C138" s="532" t="s">
        <v>460</v>
      </c>
      <c r="D138" s="479">
        <f t="shared" si="2"/>
        <v>0</v>
      </c>
      <c r="E138" s="479"/>
      <c r="F138" s="470"/>
      <c r="G138" s="470"/>
      <c r="H138" s="470"/>
      <c r="I138" s="470"/>
      <c r="J138" s="470"/>
      <c r="K138" s="470"/>
      <c r="L138" s="470"/>
      <c r="M138" s="474"/>
    </row>
    <row r="139" spans="1:13" s="475" customFormat="1" ht="13.5" customHeight="1" x14ac:dyDescent="0.25">
      <c r="A139" s="470">
        <v>124</v>
      </c>
      <c r="B139" s="533" t="s">
        <v>298</v>
      </c>
      <c r="C139" s="494" t="s">
        <v>299</v>
      </c>
      <c r="D139" s="479">
        <f t="shared" si="2"/>
        <v>0</v>
      </c>
      <c r="E139" s="479"/>
      <c r="F139" s="470"/>
      <c r="G139" s="470"/>
      <c r="H139" s="470"/>
      <c r="I139" s="470"/>
      <c r="J139" s="470"/>
      <c r="K139" s="470"/>
      <c r="L139" s="470"/>
      <c r="M139" s="474"/>
    </row>
    <row r="140" spans="1:13" s="475" customFormat="1" ht="13.5" customHeight="1" x14ac:dyDescent="0.25">
      <c r="A140" s="470">
        <v>125</v>
      </c>
      <c r="B140" s="493" t="s">
        <v>300</v>
      </c>
      <c r="C140" s="494" t="s">
        <v>301</v>
      </c>
      <c r="D140" s="479">
        <f t="shared" si="2"/>
        <v>0</v>
      </c>
      <c r="E140" s="479"/>
      <c r="F140" s="470"/>
      <c r="G140" s="470"/>
      <c r="H140" s="470"/>
      <c r="I140" s="470"/>
      <c r="J140" s="470"/>
      <c r="K140" s="470"/>
      <c r="L140" s="470"/>
      <c r="M140" s="474"/>
    </row>
    <row r="141" spans="1:13" s="475" customFormat="1" ht="13.5" customHeight="1" x14ac:dyDescent="0.25">
      <c r="A141" s="470">
        <v>126</v>
      </c>
      <c r="B141" s="493" t="s">
        <v>302</v>
      </c>
      <c r="C141" s="494" t="s">
        <v>303</v>
      </c>
      <c r="D141" s="479">
        <f t="shared" si="2"/>
        <v>81</v>
      </c>
      <c r="E141" s="479">
        <v>81</v>
      </c>
      <c r="F141" s="470"/>
      <c r="G141" s="470"/>
      <c r="H141" s="470">
        <v>81</v>
      </c>
      <c r="I141" s="470"/>
      <c r="J141" s="470"/>
      <c r="K141" s="470"/>
      <c r="L141" s="470"/>
      <c r="M141" s="474"/>
    </row>
    <row r="142" spans="1:13" s="475" customFormat="1" ht="13.5" customHeight="1" x14ac:dyDescent="0.25">
      <c r="A142" s="470">
        <v>127</v>
      </c>
      <c r="B142" s="493" t="s">
        <v>304</v>
      </c>
      <c r="C142" s="495" t="s">
        <v>305</v>
      </c>
      <c r="D142" s="479">
        <f t="shared" si="2"/>
        <v>4</v>
      </c>
      <c r="E142" s="479">
        <v>4</v>
      </c>
      <c r="F142" s="470"/>
      <c r="G142" s="470"/>
      <c r="H142" s="470"/>
      <c r="I142" s="470"/>
      <c r="J142" s="470"/>
      <c r="K142" s="470"/>
      <c r="L142" s="470"/>
      <c r="M142" s="474"/>
    </row>
    <row r="143" spans="1:13" s="273" customFormat="1" ht="12.75" x14ac:dyDescent="0.25">
      <c r="A143" s="470"/>
      <c r="B143" s="272"/>
      <c r="C143" s="496" t="s">
        <v>15</v>
      </c>
      <c r="D143" s="469">
        <f>SUM(D5:D142)-D85-D30-D78-D81</f>
        <v>271638</v>
      </c>
      <c r="E143" s="469">
        <f t="shared" ref="E143:J143" si="3">SUM(E5:E142)-E85-E30-E78-E81</f>
        <v>260628</v>
      </c>
      <c r="F143" s="469">
        <f t="shared" si="3"/>
        <v>54623</v>
      </c>
      <c r="G143" s="469">
        <f t="shared" si="3"/>
        <v>2842</v>
      </c>
      <c r="H143" s="469">
        <f t="shared" si="3"/>
        <v>4941</v>
      </c>
      <c r="I143" s="469">
        <f t="shared" si="3"/>
        <v>915</v>
      </c>
      <c r="J143" s="469">
        <f t="shared" si="3"/>
        <v>1500</v>
      </c>
      <c r="K143" s="469">
        <f>SUM(K5:K142)-K85</f>
        <v>219</v>
      </c>
      <c r="L143" s="469">
        <f>SUM(L5:L142)-L85</f>
        <v>10791</v>
      </c>
    </row>
  </sheetData>
  <mergeCells count="16">
    <mergeCell ref="B85:B88"/>
    <mergeCell ref="A29:A30"/>
    <mergeCell ref="A67:A69"/>
    <mergeCell ref="A70:A73"/>
    <mergeCell ref="A77:A78"/>
    <mergeCell ref="A80:A81"/>
    <mergeCell ref="A85:A88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O30" sqref="O30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4" customWidth="1"/>
    <col min="6" max="6" width="11.7109375" style="14" customWidth="1"/>
    <col min="7" max="7" width="12.42578125" style="14" customWidth="1"/>
    <col min="8" max="8" width="10.140625" style="32" customWidth="1"/>
    <col min="9" max="9" width="11.28515625" style="32" customWidth="1"/>
    <col min="10" max="10" width="10.140625" style="31" customWidth="1"/>
    <col min="11" max="11" width="10.85546875" style="5" customWidth="1"/>
    <col min="12" max="12" width="11.28515625" style="5" customWidth="1"/>
    <col min="13" max="16384" width="9.140625" style="5"/>
  </cols>
  <sheetData>
    <row r="1" spans="1:17" x14ac:dyDescent="0.25">
      <c r="E1" s="4"/>
      <c r="F1" s="4"/>
      <c r="G1" s="4"/>
      <c r="H1" s="4"/>
      <c r="I1" s="4"/>
      <c r="J1" s="4"/>
    </row>
    <row r="2" spans="1:17" ht="15.75" customHeight="1" x14ac:dyDescent="0.25">
      <c r="C2" s="875" t="s">
        <v>34</v>
      </c>
      <c r="D2" s="875"/>
      <c r="E2" s="875"/>
      <c r="F2" s="875"/>
      <c r="G2" s="875"/>
      <c r="H2" s="875"/>
      <c r="I2" s="875"/>
      <c r="J2" s="875"/>
    </row>
    <row r="3" spans="1:17" x14ac:dyDescent="0.25">
      <c r="C3" s="6"/>
      <c r="D3" s="6"/>
      <c r="E3" s="7"/>
      <c r="F3" s="7"/>
      <c r="G3" s="7"/>
      <c r="H3" s="8"/>
      <c r="I3" s="8"/>
      <c r="J3" s="9"/>
    </row>
    <row r="4" spans="1:17" s="10" customFormat="1" ht="15.75" customHeight="1" x14ac:dyDescent="0.25">
      <c r="A4" s="876" t="s">
        <v>0</v>
      </c>
      <c r="B4" s="876" t="s">
        <v>1</v>
      </c>
      <c r="C4" s="877" t="s">
        <v>2</v>
      </c>
      <c r="D4" s="876" t="s">
        <v>3</v>
      </c>
      <c r="E4" s="878" t="s">
        <v>4</v>
      </c>
      <c r="F4" s="878"/>
      <c r="G4" s="878"/>
      <c r="H4" s="878"/>
      <c r="I4" s="878"/>
      <c r="J4" s="878"/>
      <c r="K4" s="878"/>
    </row>
    <row r="5" spans="1:17" ht="11.25" customHeight="1" x14ac:dyDescent="0.25">
      <c r="A5" s="876"/>
      <c r="B5" s="876"/>
      <c r="C5" s="877"/>
      <c r="D5" s="876"/>
      <c r="E5" s="878"/>
      <c r="F5" s="878"/>
      <c r="G5" s="878"/>
      <c r="H5" s="878"/>
      <c r="I5" s="878"/>
      <c r="J5" s="878"/>
      <c r="K5" s="878"/>
    </row>
    <row r="6" spans="1:17" ht="11.25" customHeight="1" x14ac:dyDescent="0.25">
      <c r="A6" s="876"/>
      <c r="B6" s="876"/>
      <c r="C6" s="877"/>
      <c r="D6" s="876"/>
      <c r="E6" s="879" t="s">
        <v>5</v>
      </c>
      <c r="F6" s="881" t="s">
        <v>6</v>
      </c>
      <c r="G6" s="881"/>
      <c r="H6" s="881"/>
      <c r="I6" s="881"/>
      <c r="J6" s="882"/>
      <c r="K6" s="883" t="s">
        <v>7</v>
      </c>
    </row>
    <row r="7" spans="1:17" ht="90.75" customHeight="1" x14ac:dyDescent="0.25">
      <c r="A7" s="876"/>
      <c r="B7" s="876"/>
      <c r="C7" s="877"/>
      <c r="D7" s="876"/>
      <c r="E7" s="880"/>
      <c r="F7" s="11" t="s">
        <v>8</v>
      </c>
      <c r="G7" s="835" t="s">
        <v>9</v>
      </c>
      <c r="H7" s="11" t="s">
        <v>10</v>
      </c>
      <c r="I7" s="835" t="s">
        <v>11</v>
      </c>
      <c r="J7" s="835" t="s">
        <v>12</v>
      </c>
      <c r="K7" s="880"/>
    </row>
    <row r="8" spans="1:17" s="10" customFormat="1" ht="12" customHeight="1" x14ac:dyDescent="0.25">
      <c r="A8" s="874" t="s">
        <v>13</v>
      </c>
      <c r="B8" s="874"/>
      <c r="C8" s="874"/>
      <c r="D8" s="12"/>
      <c r="E8" s="13">
        <f t="shared" ref="E8:K8" si="0">E9+E10</f>
        <v>1001203</v>
      </c>
      <c r="F8" s="13">
        <f t="shared" si="0"/>
        <v>923130</v>
      </c>
      <c r="G8" s="13">
        <f t="shared" si="0"/>
        <v>711</v>
      </c>
      <c r="H8" s="13">
        <f t="shared" si="0"/>
        <v>56939</v>
      </c>
      <c r="I8" s="13">
        <f t="shared" si="0"/>
        <v>15</v>
      </c>
      <c r="J8" s="13">
        <f t="shared" si="0"/>
        <v>21134</v>
      </c>
      <c r="K8" s="13">
        <f t="shared" si="0"/>
        <v>50062</v>
      </c>
      <c r="L8" s="14"/>
    </row>
    <row r="9" spans="1:17" s="19" customFormat="1" ht="11.25" customHeight="1" x14ac:dyDescent="0.25">
      <c r="A9" s="15"/>
      <c r="B9" s="15"/>
      <c r="C9" s="16" t="s">
        <v>14</v>
      </c>
      <c r="D9" s="17"/>
      <c r="E9" s="11">
        <f>F9+H9+J9</f>
        <v>21158</v>
      </c>
      <c r="F9" s="11">
        <v>21158</v>
      </c>
      <c r="G9" s="11"/>
      <c r="H9" s="11"/>
      <c r="I9" s="11"/>
      <c r="J9" s="11"/>
      <c r="K9" s="18">
        <v>1058</v>
      </c>
      <c r="L9" s="14"/>
    </row>
    <row r="10" spans="1:17" s="10" customFormat="1" x14ac:dyDescent="0.25">
      <c r="A10" s="874" t="s">
        <v>15</v>
      </c>
      <c r="B10" s="874"/>
      <c r="C10" s="874"/>
      <c r="D10" s="13"/>
      <c r="E10" s="13">
        <f t="shared" ref="E10:K10" si="1">SUM(E11:E19)</f>
        <v>980045</v>
      </c>
      <c r="F10" s="13">
        <f t="shared" si="1"/>
        <v>901972</v>
      </c>
      <c r="G10" s="13">
        <f t="shared" si="1"/>
        <v>711</v>
      </c>
      <c r="H10" s="13">
        <f t="shared" si="1"/>
        <v>56939</v>
      </c>
      <c r="I10" s="13">
        <f t="shared" si="1"/>
        <v>15</v>
      </c>
      <c r="J10" s="13">
        <f t="shared" si="1"/>
        <v>21134</v>
      </c>
      <c r="K10" s="13">
        <f t="shared" si="1"/>
        <v>49004</v>
      </c>
      <c r="L10" s="14"/>
    </row>
    <row r="11" spans="1:17" s="26" customFormat="1" x14ac:dyDescent="0.25">
      <c r="A11" s="20">
        <v>1</v>
      </c>
      <c r="B11" s="834" t="s">
        <v>16</v>
      </c>
      <c r="C11" s="22" t="s">
        <v>17</v>
      </c>
      <c r="D11" s="23">
        <v>0.85</v>
      </c>
      <c r="E11" s="11">
        <f t="shared" ref="E11:E19" si="2">F11+H11+J11</f>
        <v>36832</v>
      </c>
      <c r="F11" s="24">
        <v>36832</v>
      </c>
      <c r="G11" s="24">
        <v>56</v>
      </c>
      <c r="H11" s="11">
        <v>0</v>
      </c>
      <c r="I11" s="11">
        <v>0</v>
      </c>
      <c r="J11" s="11"/>
      <c r="K11" s="25">
        <v>1842</v>
      </c>
      <c r="L11" s="14"/>
      <c r="M11" s="14"/>
      <c r="N11" s="14"/>
      <c r="O11" s="14"/>
      <c r="P11" s="14"/>
      <c r="Q11" s="14"/>
    </row>
    <row r="12" spans="1:17" s="26" customFormat="1" x14ac:dyDescent="0.25">
      <c r="A12" s="20">
        <v>2</v>
      </c>
      <c r="B12" s="834" t="s">
        <v>18</v>
      </c>
      <c r="C12" s="22" t="s">
        <v>19</v>
      </c>
      <c r="D12" s="23">
        <v>0.85</v>
      </c>
      <c r="E12" s="11">
        <f t="shared" si="2"/>
        <v>79878</v>
      </c>
      <c r="F12" s="24">
        <v>78078</v>
      </c>
      <c r="G12" s="24">
        <v>74</v>
      </c>
      <c r="H12" s="24">
        <v>1800</v>
      </c>
      <c r="I12" s="24">
        <v>2</v>
      </c>
      <c r="J12" s="11"/>
      <c r="K12" s="25">
        <v>3994</v>
      </c>
      <c r="L12" s="14"/>
      <c r="M12" s="14"/>
      <c r="N12" s="14"/>
      <c r="O12" s="14"/>
    </row>
    <row r="13" spans="1:17" s="26" customFormat="1" x14ac:dyDescent="0.25">
      <c r="A13" s="20">
        <v>3</v>
      </c>
      <c r="B13" s="834" t="s">
        <v>20</v>
      </c>
      <c r="C13" s="22" t="s">
        <v>21</v>
      </c>
      <c r="D13" s="23">
        <v>0.85</v>
      </c>
      <c r="E13" s="11">
        <f t="shared" si="2"/>
        <v>54051</v>
      </c>
      <c r="F13" s="24">
        <v>54051</v>
      </c>
      <c r="G13" s="24">
        <v>80</v>
      </c>
      <c r="H13" s="11">
        <v>0</v>
      </c>
      <c r="I13" s="11">
        <v>0</v>
      </c>
      <c r="J13" s="11"/>
      <c r="K13" s="25">
        <v>2703</v>
      </c>
      <c r="L13" s="14"/>
      <c r="M13" s="14"/>
      <c r="N13" s="14"/>
      <c r="O13" s="14"/>
    </row>
    <row r="14" spans="1:17" s="26" customFormat="1" x14ac:dyDescent="0.25">
      <c r="A14" s="20">
        <v>4</v>
      </c>
      <c r="B14" s="27" t="s">
        <v>22</v>
      </c>
      <c r="C14" s="28" t="s">
        <v>23</v>
      </c>
      <c r="D14" s="23">
        <v>0.85</v>
      </c>
      <c r="E14" s="11">
        <f t="shared" si="2"/>
        <v>36601</v>
      </c>
      <c r="F14" s="11">
        <v>36601</v>
      </c>
      <c r="G14" s="11">
        <v>39</v>
      </c>
      <c r="H14" s="11">
        <v>0</v>
      </c>
      <c r="I14" s="11">
        <v>0</v>
      </c>
      <c r="J14" s="11"/>
      <c r="K14" s="25">
        <v>1830</v>
      </c>
      <c r="L14" s="14"/>
      <c r="M14" s="14"/>
      <c r="N14" s="14"/>
      <c r="O14" s="14"/>
    </row>
    <row r="15" spans="1:17" s="26" customFormat="1" x14ac:dyDescent="0.25">
      <c r="A15" s="20">
        <v>5</v>
      </c>
      <c r="B15" s="834" t="s">
        <v>24</v>
      </c>
      <c r="C15" s="22" t="s">
        <v>25</v>
      </c>
      <c r="D15" s="23">
        <v>0.85</v>
      </c>
      <c r="E15" s="11">
        <f t="shared" si="2"/>
        <v>3376</v>
      </c>
      <c r="F15" s="24">
        <v>1861</v>
      </c>
      <c r="G15" s="24">
        <v>2</v>
      </c>
      <c r="H15" s="24">
        <v>1515</v>
      </c>
      <c r="I15" s="24">
        <v>5</v>
      </c>
      <c r="J15" s="11"/>
      <c r="K15" s="25">
        <v>169</v>
      </c>
      <c r="L15" s="14"/>
      <c r="M15" s="14"/>
      <c r="N15" s="14"/>
      <c r="O15" s="14"/>
    </row>
    <row r="16" spans="1:17" s="26" customFormat="1" x14ac:dyDescent="0.25">
      <c r="A16" s="20">
        <v>6</v>
      </c>
      <c r="B16" s="29" t="s">
        <v>26</v>
      </c>
      <c r="C16" s="28" t="s">
        <v>27</v>
      </c>
      <c r="D16" s="23">
        <v>0.85</v>
      </c>
      <c r="E16" s="11">
        <f t="shared" si="2"/>
        <v>54234</v>
      </c>
      <c r="F16" s="24">
        <v>54234</v>
      </c>
      <c r="G16" s="24">
        <v>51</v>
      </c>
      <c r="H16" s="11">
        <v>0</v>
      </c>
      <c r="I16" s="11">
        <v>0</v>
      </c>
      <c r="J16" s="11"/>
      <c r="K16" s="25">
        <v>2712</v>
      </c>
      <c r="L16" s="14"/>
      <c r="M16" s="14"/>
      <c r="N16" s="14"/>
      <c r="O16" s="14"/>
    </row>
    <row r="17" spans="1:15" s="26" customFormat="1" x14ac:dyDescent="0.25">
      <c r="A17" s="20">
        <v>7</v>
      </c>
      <c r="B17" s="834" t="s">
        <v>28</v>
      </c>
      <c r="C17" s="22" t="s">
        <v>29</v>
      </c>
      <c r="D17" s="23">
        <v>0.85</v>
      </c>
      <c r="E17" s="11">
        <f t="shared" si="2"/>
        <v>96111</v>
      </c>
      <c r="F17" s="24">
        <v>96111</v>
      </c>
      <c r="G17" s="24">
        <v>147</v>
      </c>
      <c r="H17" s="24">
        <v>0</v>
      </c>
      <c r="I17" s="11">
        <v>0</v>
      </c>
      <c r="J17" s="11"/>
      <c r="K17" s="25">
        <v>4806</v>
      </c>
      <c r="L17" s="14"/>
      <c r="M17" s="14"/>
      <c r="N17" s="14"/>
      <c r="O17" s="14"/>
    </row>
    <row r="18" spans="1:15" s="26" customFormat="1" x14ac:dyDescent="0.25">
      <c r="A18" s="20">
        <v>8</v>
      </c>
      <c r="B18" s="29" t="s">
        <v>30</v>
      </c>
      <c r="C18" s="30" t="s">
        <v>31</v>
      </c>
      <c r="D18" s="23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5">
        <v>29697</v>
      </c>
      <c r="L18" s="14"/>
      <c r="M18" s="14"/>
      <c r="N18" s="14"/>
      <c r="O18" s="14"/>
    </row>
    <row r="19" spans="1:15" s="26" customFormat="1" x14ac:dyDescent="0.25">
      <c r="A19" s="20">
        <v>9</v>
      </c>
      <c r="B19" s="29" t="s">
        <v>32</v>
      </c>
      <c r="C19" s="28" t="s">
        <v>33</v>
      </c>
      <c r="D19" s="23">
        <v>0.91</v>
      </c>
      <c r="E19" s="11">
        <f t="shared" si="2"/>
        <v>25014</v>
      </c>
      <c r="F19" s="24">
        <v>25014</v>
      </c>
      <c r="G19" s="24">
        <v>35</v>
      </c>
      <c r="H19" s="11">
        <v>0</v>
      </c>
      <c r="I19" s="11">
        <v>0</v>
      </c>
      <c r="J19" s="11"/>
      <c r="K19" s="25">
        <v>1251</v>
      </c>
      <c r="L19" s="14"/>
      <c r="M19" s="14"/>
      <c r="N19" s="14"/>
      <c r="O19" s="14"/>
    </row>
    <row r="22" spans="1:15" x14ac:dyDescent="0.25">
      <c r="H22" s="31"/>
      <c r="I22" s="31"/>
      <c r="K22" s="31"/>
    </row>
    <row r="23" spans="1:15" x14ac:dyDescent="0.25">
      <c r="H23" s="14"/>
      <c r="I23" s="14"/>
      <c r="J23" s="14"/>
      <c r="K23" s="14"/>
    </row>
    <row r="27" spans="1:15" x14ac:dyDescent="0.25">
      <c r="H27" s="14"/>
      <c r="I27" s="14"/>
      <c r="J27" s="14"/>
      <c r="K27" s="14"/>
    </row>
    <row r="28" spans="1:15" x14ac:dyDescent="0.25">
      <c r="H28" s="14"/>
      <c r="I28" s="14"/>
      <c r="J28" s="14"/>
      <c r="K28" s="14"/>
    </row>
    <row r="29" spans="1:15" x14ac:dyDescent="0.25">
      <c r="H29" s="14"/>
      <c r="I29" s="14"/>
      <c r="J29" s="14"/>
      <c r="K29" s="14"/>
    </row>
    <row r="30" spans="1:15" x14ac:dyDescent="0.25">
      <c r="H30" s="14"/>
      <c r="I30" s="14"/>
      <c r="J30" s="14"/>
      <c r="K30" s="14"/>
    </row>
    <row r="31" spans="1:15" x14ac:dyDescent="0.25">
      <c r="H31" s="14"/>
      <c r="I31" s="14"/>
      <c r="J31" s="14"/>
      <c r="K31" s="14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1"/>
  <sheetViews>
    <sheetView zoomScale="90" zoomScaleNormal="90" workbookViewId="0">
      <pane xSplit="3" ySplit="10" topLeftCell="L134" activePane="bottomRight" state="frozen"/>
      <selection pane="topRight" activeCell="D1" sqref="D1"/>
      <selection pane="bottomLeft" activeCell="A14" sqref="A14"/>
      <selection pane="bottomRight" activeCell="Z134" sqref="Z134"/>
    </sheetView>
  </sheetViews>
  <sheetFormatPr defaultColWidth="9.140625" defaultRowHeight="12" x14ac:dyDescent="0.25"/>
  <cols>
    <col min="1" max="1" width="4.7109375" style="33" customWidth="1"/>
    <col min="2" max="2" width="8.5703125" style="33" customWidth="1"/>
    <col min="3" max="3" width="31.7109375" style="67" bestFit="1" customWidth="1"/>
    <col min="4" max="4" width="9.7109375" style="35" customWidth="1"/>
    <col min="5" max="5" width="14.42578125" style="35" customWidth="1"/>
    <col min="6" max="6" width="14.5703125" style="35" customWidth="1"/>
    <col min="7" max="8" width="14" style="35" customWidth="1"/>
    <col min="9" max="9" width="16.28515625" style="35" customWidth="1"/>
    <col min="10" max="10" width="11.5703125" style="35" customWidth="1"/>
    <col min="11" max="11" width="10.5703125" style="35" customWidth="1"/>
    <col min="12" max="12" width="13.28515625" style="35" customWidth="1"/>
    <col min="13" max="13" width="14" style="35" customWidth="1"/>
    <col min="14" max="16" width="9.28515625" style="35" bestFit="1" customWidth="1"/>
    <col min="17" max="17" width="11" style="35" customWidth="1"/>
    <col min="18" max="18" width="13.5703125" style="35" customWidth="1"/>
    <col min="19" max="19" width="9.7109375" style="35" bestFit="1" customWidth="1"/>
    <col min="20" max="21" width="10.85546875" style="35" customWidth="1"/>
    <col min="22" max="22" width="9.140625" style="35"/>
    <col min="23" max="23" width="10.28515625" style="35" customWidth="1"/>
    <col min="24" max="24" width="13.85546875" style="35" customWidth="1"/>
    <col min="25" max="26" width="10.28515625" style="35" customWidth="1"/>
    <col min="27" max="16384" width="9.140625" style="35"/>
  </cols>
  <sheetData>
    <row r="1" spans="1:30" x14ac:dyDescent="0.25">
      <c r="C1" s="34"/>
      <c r="U1" s="36">
        <f>1450-'[18]Обращения (Пр. 12 -25)'!F13</f>
        <v>16</v>
      </c>
    </row>
    <row r="2" spans="1:30" ht="26.25" customHeight="1" x14ac:dyDescent="0.25">
      <c r="A2" s="884" t="s">
        <v>717</v>
      </c>
      <c r="B2" s="884"/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/>
      <c r="P2" s="884"/>
      <c r="Q2" s="884"/>
      <c r="R2" s="884"/>
      <c r="S2" s="884"/>
      <c r="T2" s="884"/>
      <c r="U2" s="884"/>
      <c r="V2" s="884"/>
      <c r="W2" s="884"/>
      <c r="X2" s="884"/>
      <c r="Y2" s="679"/>
      <c r="Z2" s="679"/>
    </row>
    <row r="3" spans="1:30" x14ac:dyDescent="0.25">
      <c r="C3" s="37"/>
      <c r="U3" s="36"/>
      <c r="X3" s="36"/>
      <c r="Y3" s="36"/>
      <c r="Z3" s="36"/>
    </row>
    <row r="4" spans="1:30" s="39" customFormat="1" ht="15.75" customHeight="1" x14ac:dyDescent="0.25">
      <c r="A4" s="885" t="s">
        <v>0</v>
      </c>
      <c r="B4" s="885" t="s">
        <v>1</v>
      </c>
      <c r="C4" s="885" t="s">
        <v>2</v>
      </c>
      <c r="D4" s="886" t="s">
        <v>35</v>
      </c>
      <c r="E4" s="886"/>
      <c r="F4" s="886"/>
      <c r="G4" s="886"/>
      <c r="H4" s="886"/>
      <c r="I4" s="886"/>
      <c r="J4" s="886"/>
      <c r="K4" s="886"/>
      <c r="L4" s="886"/>
      <c r="M4" s="886"/>
      <c r="N4" s="886"/>
      <c r="O4" s="886"/>
      <c r="P4" s="886"/>
      <c r="Q4" s="886"/>
      <c r="R4" s="886"/>
      <c r="S4" s="886"/>
      <c r="T4" s="886"/>
      <c r="U4" s="886"/>
      <c r="V4" s="886"/>
      <c r="W4" s="886"/>
      <c r="X4" s="886"/>
      <c r="Y4" s="38"/>
      <c r="Z4" s="38"/>
    </row>
    <row r="5" spans="1:30" ht="57" customHeight="1" x14ac:dyDescent="0.25">
      <c r="A5" s="885"/>
      <c r="B5" s="885"/>
      <c r="C5" s="885"/>
      <c r="D5" s="886" t="s">
        <v>36</v>
      </c>
      <c r="E5" s="887" t="s">
        <v>736</v>
      </c>
      <c r="F5" s="887" t="s">
        <v>737</v>
      </c>
      <c r="G5" s="887" t="s">
        <v>37</v>
      </c>
      <c r="H5" s="887" t="s">
        <v>38</v>
      </c>
      <c r="I5" s="887" t="s">
        <v>39</v>
      </c>
      <c r="J5" s="886" t="s">
        <v>40</v>
      </c>
      <c r="K5" s="890" t="s">
        <v>41</v>
      </c>
      <c r="L5" s="891"/>
      <c r="M5" s="892"/>
      <c r="N5" s="890" t="s">
        <v>306</v>
      </c>
      <c r="O5" s="891"/>
      <c r="P5" s="891"/>
      <c r="Q5" s="892"/>
      <c r="R5" s="886" t="s">
        <v>42</v>
      </c>
      <c r="S5" s="886" t="s">
        <v>43</v>
      </c>
      <c r="T5" s="886"/>
      <c r="U5" s="886"/>
      <c r="V5" s="886"/>
      <c r="W5" s="886"/>
      <c r="X5" s="886"/>
      <c r="Y5" s="38"/>
      <c r="Z5" s="38"/>
    </row>
    <row r="6" spans="1:30" ht="33.75" customHeight="1" x14ac:dyDescent="0.25">
      <c r="A6" s="885"/>
      <c r="B6" s="885"/>
      <c r="C6" s="885"/>
      <c r="D6" s="886"/>
      <c r="E6" s="888"/>
      <c r="F6" s="888"/>
      <c r="G6" s="888"/>
      <c r="H6" s="888"/>
      <c r="I6" s="888"/>
      <c r="J6" s="886"/>
      <c r="K6" s="681" t="s">
        <v>44</v>
      </c>
      <c r="L6" s="68" t="s">
        <v>45</v>
      </c>
      <c r="M6" s="887" t="s">
        <v>641</v>
      </c>
      <c r="N6" s="887" t="s">
        <v>46</v>
      </c>
      <c r="O6" s="890" t="s">
        <v>47</v>
      </c>
      <c r="P6" s="891"/>
      <c r="Q6" s="892"/>
      <c r="R6" s="886"/>
      <c r="S6" s="886" t="s">
        <v>46</v>
      </c>
      <c r="T6" s="886" t="s">
        <v>48</v>
      </c>
      <c r="U6" s="886"/>
      <c r="V6" s="890" t="s">
        <v>49</v>
      </c>
      <c r="W6" s="891"/>
      <c r="X6" s="892"/>
      <c r="Y6" s="38"/>
      <c r="Z6" s="38"/>
    </row>
    <row r="7" spans="1:30" ht="90" customHeight="1" x14ac:dyDescent="0.25">
      <c r="A7" s="885"/>
      <c r="B7" s="885"/>
      <c r="C7" s="885"/>
      <c r="D7" s="886"/>
      <c r="E7" s="889"/>
      <c r="F7" s="889"/>
      <c r="G7" s="889"/>
      <c r="H7" s="889"/>
      <c r="I7" s="889"/>
      <c r="J7" s="886"/>
      <c r="K7" s="682"/>
      <c r="L7" s="680" t="s">
        <v>640</v>
      </c>
      <c r="M7" s="889"/>
      <c r="N7" s="889"/>
      <c r="O7" s="680" t="s">
        <v>50</v>
      </c>
      <c r="P7" s="680" t="s">
        <v>51</v>
      </c>
      <c r="Q7" s="680" t="s">
        <v>52</v>
      </c>
      <c r="R7" s="886"/>
      <c r="S7" s="886"/>
      <c r="T7" s="680" t="s">
        <v>52</v>
      </c>
      <c r="U7" s="680" t="s">
        <v>53</v>
      </c>
      <c r="V7" s="680" t="s">
        <v>13</v>
      </c>
      <c r="W7" s="680" t="s">
        <v>51</v>
      </c>
      <c r="X7" s="680" t="s">
        <v>748</v>
      </c>
      <c r="Y7" s="38"/>
      <c r="Z7" s="38"/>
      <c r="AA7" s="36"/>
    </row>
    <row r="8" spans="1:30" s="39" customFormat="1" x14ac:dyDescent="0.25">
      <c r="A8" s="893" t="s">
        <v>13</v>
      </c>
      <c r="B8" s="893"/>
      <c r="C8" s="893"/>
      <c r="D8" s="40">
        <f t="shared" ref="D8:X8" si="0">D9+D10</f>
        <v>5124814</v>
      </c>
      <c r="E8" s="40">
        <f t="shared" si="0"/>
        <v>309441</v>
      </c>
      <c r="F8" s="40">
        <f t="shared" si="0"/>
        <v>117210</v>
      </c>
      <c r="G8" s="40">
        <f t="shared" si="0"/>
        <v>424763</v>
      </c>
      <c r="H8" s="40">
        <f t="shared" si="0"/>
        <v>4809</v>
      </c>
      <c r="I8" s="40">
        <f t="shared" si="0"/>
        <v>111790</v>
      </c>
      <c r="J8" s="40">
        <f t="shared" si="0"/>
        <v>80144</v>
      </c>
      <c r="K8" s="40">
        <f t="shared" si="0"/>
        <v>152846</v>
      </c>
      <c r="L8" s="40">
        <f t="shared" si="0"/>
        <v>2320</v>
      </c>
      <c r="M8" s="40">
        <f t="shared" si="0"/>
        <v>150526</v>
      </c>
      <c r="N8" s="40">
        <f t="shared" si="0"/>
        <v>133720</v>
      </c>
      <c r="O8" s="40">
        <f t="shared" si="0"/>
        <v>112962</v>
      </c>
      <c r="P8" s="40">
        <f t="shared" si="0"/>
        <v>20105</v>
      </c>
      <c r="Q8" s="40">
        <f t="shared" si="0"/>
        <v>653</v>
      </c>
      <c r="R8" s="40">
        <f t="shared" si="0"/>
        <v>41384</v>
      </c>
      <c r="S8" s="40">
        <f t="shared" si="0"/>
        <v>3748707</v>
      </c>
      <c r="T8" s="40">
        <f t="shared" si="0"/>
        <v>59071</v>
      </c>
      <c r="U8" s="40">
        <f t="shared" si="0"/>
        <v>174221</v>
      </c>
      <c r="V8" s="40">
        <f t="shared" si="0"/>
        <v>3515415</v>
      </c>
      <c r="W8" s="40">
        <f t="shared" si="0"/>
        <v>814958</v>
      </c>
      <c r="X8" s="40">
        <f t="shared" si="0"/>
        <v>2700457</v>
      </c>
      <c r="Y8" s="42"/>
      <c r="Z8" s="42"/>
      <c r="AA8" s="43"/>
    </row>
    <row r="9" spans="1:30" s="39" customFormat="1" ht="15.75" customHeight="1" x14ac:dyDescent="0.25">
      <c r="A9" s="900" t="s">
        <v>14</v>
      </c>
      <c r="B9" s="901"/>
      <c r="C9" s="902"/>
      <c r="D9" s="50">
        <f t="shared" ref="D9" si="1">E9+F9+G9+H9+I9+J9+K9+N9+R9+S9</f>
        <v>7028</v>
      </c>
      <c r="E9" s="44"/>
      <c r="F9" s="44"/>
      <c r="G9" s="40"/>
      <c r="H9" s="45">
        <v>0</v>
      </c>
      <c r="I9" s="41"/>
      <c r="J9" s="41"/>
      <c r="K9" s="41"/>
      <c r="M9" s="41"/>
      <c r="N9" s="45">
        <v>7028</v>
      </c>
      <c r="O9" s="45">
        <v>7028</v>
      </c>
      <c r="P9" s="41"/>
      <c r="Q9" s="41"/>
      <c r="R9" s="41"/>
      <c r="S9" s="41"/>
      <c r="T9" s="41"/>
      <c r="U9" s="41"/>
      <c r="V9" s="41"/>
      <c r="W9" s="41"/>
      <c r="X9" s="41"/>
      <c r="Y9" s="46"/>
      <c r="Z9" s="46"/>
      <c r="AA9" s="43"/>
    </row>
    <row r="10" spans="1:30" s="39" customFormat="1" ht="15" customHeight="1" x14ac:dyDescent="0.25">
      <c r="A10" s="893" t="s">
        <v>15</v>
      </c>
      <c r="B10" s="893"/>
      <c r="C10" s="893"/>
      <c r="D10" s="40">
        <f>SUM(D11:D148)-D91-D36-D74-D75-D77-D78-D79-D84-D87</f>
        <v>5117786</v>
      </c>
      <c r="E10" s="40">
        <f t="shared" ref="E10:X10" si="2">SUM(E11:E148)-E91-E36-E74-E75-E77-E78-E79-E84-E87</f>
        <v>309441</v>
      </c>
      <c r="F10" s="40">
        <f t="shared" si="2"/>
        <v>117210</v>
      </c>
      <c r="G10" s="40">
        <f t="shared" si="2"/>
        <v>424763</v>
      </c>
      <c r="H10" s="40">
        <f t="shared" si="2"/>
        <v>4809</v>
      </c>
      <c r="I10" s="40">
        <f t="shared" si="2"/>
        <v>111790</v>
      </c>
      <c r="J10" s="40">
        <f t="shared" si="2"/>
        <v>80144</v>
      </c>
      <c r="K10" s="40">
        <f t="shared" si="2"/>
        <v>152846</v>
      </c>
      <c r="L10" s="40">
        <f t="shared" si="2"/>
        <v>2320</v>
      </c>
      <c r="M10" s="40">
        <f t="shared" si="2"/>
        <v>150526</v>
      </c>
      <c r="N10" s="40">
        <f t="shared" si="2"/>
        <v>126692</v>
      </c>
      <c r="O10" s="40">
        <f t="shared" si="2"/>
        <v>105934</v>
      </c>
      <c r="P10" s="40">
        <f t="shared" si="2"/>
        <v>20105</v>
      </c>
      <c r="Q10" s="40">
        <f t="shared" si="2"/>
        <v>653</v>
      </c>
      <c r="R10" s="40">
        <f t="shared" si="2"/>
        <v>41384</v>
      </c>
      <c r="S10" s="40">
        <f t="shared" si="2"/>
        <v>3748707</v>
      </c>
      <c r="T10" s="40">
        <f t="shared" si="2"/>
        <v>59071</v>
      </c>
      <c r="U10" s="40">
        <f t="shared" si="2"/>
        <v>174221</v>
      </c>
      <c r="V10" s="40">
        <f t="shared" si="2"/>
        <v>3515415</v>
      </c>
      <c r="W10" s="40">
        <f t="shared" si="2"/>
        <v>814958</v>
      </c>
      <c r="X10" s="40">
        <f t="shared" si="2"/>
        <v>2700457</v>
      </c>
      <c r="Y10" s="42"/>
      <c r="Z10" s="42"/>
      <c r="AA10" s="43"/>
      <c r="AC10" s="43"/>
      <c r="AD10" s="43"/>
    </row>
    <row r="11" spans="1:30" ht="12" customHeight="1" x14ac:dyDescent="0.25">
      <c r="A11" s="47">
        <v>1</v>
      </c>
      <c r="B11" s="48" t="s">
        <v>54</v>
      </c>
      <c r="C11" s="49" t="s">
        <v>55</v>
      </c>
      <c r="D11" s="50">
        <f>E11+F11+G11+H11+I11+J11+K11+N11+R11+S11</f>
        <v>22431</v>
      </c>
      <c r="E11" s="50">
        <v>1359</v>
      </c>
      <c r="F11" s="50">
        <v>1288</v>
      </c>
      <c r="G11" s="50">
        <v>1888</v>
      </c>
      <c r="H11" s="50">
        <v>0</v>
      </c>
      <c r="I11" s="50">
        <v>429</v>
      </c>
      <c r="J11" s="50">
        <v>0</v>
      </c>
      <c r="K11" s="50">
        <f>L11+M11</f>
        <v>1361</v>
      </c>
      <c r="L11" s="50">
        <v>14</v>
      </c>
      <c r="M11" s="50">
        <v>1347</v>
      </c>
      <c r="N11" s="50">
        <f>O11+P11+Q11</f>
        <v>0</v>
      </c>
      <c r="O11" s="50">
        <v>0</v>
      </c>
      <c r="P11" s="50">
        <v>0</v>
      </c>
      <c r="Q11" s="50">
        <v>0</v>
      </c>
      <c r="R11" s="50">
        <v>0</v>
      </c>
      <c r="S11" s="50">
        <f>T11+U11+V11</f>
        <v>16106</v>
      </c>
      <c r="T11" s="50">
        <v>0</v>
      </c>
      <c r="U11" s="50">
        <v>1237</v>
      </c>
      <c r="V11" s="50">
        <f>W11+X11</f>
        <v>14869</v>
      </c>
      <c r="W11" s="50">
        <v>3844</v>
      </c>
      <c r="X11" s="50">
        <v>11025</v>
      </c>
      <c r="Y11" s="42"/>
      <c r="Z11" s="42"/>
      <c r="AA11" s="43"/>
    </row>
    <row r="12" spans="1:30" x14ac:dyDescent="0.25">
      <c r="A12" s="47">
        <v>2</v>
      </c>
      <c r="B12" s="51" t="s">
        <v>56</v>
      </c>
      <c r="C12" s="49" t="s">
        <v>57</v>
      </c>
      <c r="D12" s="50">
        <f t="shared" ref="D12:D72" si="3">E12+F12+G12+H12+I12+J12+K12+N12+R12+S12</f>
        <v>23120</v>
      </c>
      <c r="E12" s="50">
        <v>1368</v>
      </c>
      <c r="F12" s="50">
        <v>1841</v>
      </c>
      <c r="G12" s="50">
        <v>1956</v>
      </c>
      <c r="H12" s="50">
        <v>0</v>
      </c>
      <c r="I12" s="50">
        <v>398</v>
      </c>
      <c r="J12" s="50">
        <v>0</v>
      </c>
      <c r="K12" s="50">
        <f t="shared" ref="K12:K72" si="4">L12+M12</f>
        <v>1366</v>
      </c>
      <c r="L12" s="50">
        <v>0</v>
      </c>
      <c r="M12" s="50">
        <v>1366</v>
      </c>
      <c r="N12" s="50">
        <f t="shared" ref="N12:N72" si="5">O12+P12+Q12</f>
        <v>0</v>
      </c>
      <c r="O12" s="50">
        <v>0</v>
      </c>
      <c r="P12" s="50">
        <v>0</v>
      </c>
      <c r="Q12" s="50">
        <v>0</v>
      </c>
      <c r="R12" s="50">
        <v>0</v>
      </c>
      <c r="S12" s="50">
        <f>T12+U12+V12</f>
        <v>16191</v>
      </c>
      <c r="T12" s="50">
        <v>0</v>
      </c>
      <c r="U12" s="50">
        <v>930</v>
      </c>
      <c r="V12" s="50">
        <f t="shared" ref="V12:V72" si="6">W12+X12</f>
        <v>15261</v>
      </c>
      <c r="W12" s="50">
        <v>3841</v>
      </c>
      <c r="X12" s="50">
        <v>11420</v>
      </c>
      <c r="Y12" s="42"/>
      <c r="Z12" s="42"/>
      <c r="AA12" s="43"/>
    </row>
    <row r="13" spans="1:30" x14ac:dyDescent="0.25">
      <c r="A13" s="47">
        <v>3</v>
      </c>
      <c r="B13" s="166" t="s">
        <v>16</v>
      </c>
      <c r="C13" s="49" t="s">
        <v>17</v>
      </c>
      <c r="D13" s="50">
        <f t="shared" si="3"/>
        <v>72099</v>
      </c>
      <c r="E13" s="50">
        <v>4404</v>
      </c>
      <c r="F13" s="50">
        <v>3118</v>
      </c>
      <c r="G13" s="50">
        <v>5932</v>
      </c>
      <c r="H13" s="50">
        <v>525</v>
      </c>
      <c r="I13" s="50">
        <v>1565</v>
      </c>
      <c r="J13" s="50">
        <v>0</v>
      </c>
      <c r="K13" s="50">
        <f t="shared" si="4"/>
        <v>2500</v>
      </c>
      <c r="L13" s="50">
        <v>0</v>
      </c>
      <c r="M13" s="50">
        <v>2500</v>
      </c>
      <c r="N13" s="50">
        <f t="shared" si="5"/>
        <v>0</v>
      </c>
      <c r="O13" s="50">
        <v>0</v>
      </c>
      <c r="P13" s="50">
        <v>0</v>
      </c>
      <c r="Q13" s="50">
        <v>0</v>
      </c>
      <c r="R13" s="50">
        <v>0</v>
      </c>
      <c r="S13" s="50">
        <f t="shared" ref="S13:S72" si="7">T13+U13+V13</f>
        <v>54055</v>
      </c>
      <c r="T13" s="50">
        <v>1196</v>
      </c>
      <c r="U13" s="50">
        <v>2057</v>
      </c>
      <c r="V13" s="50">
        <f t="shared" si="6"/>
        <v>50802</v>
      </c>
      <c r="W13" s="50">
        <v>12882</v>
      </c>
      <c r="X13" s="50">
        <v>37920</v>
      </c>
      <c r="Y13" s="42"/>
      <c r="Z13" s="42"/>
      <c r="AA13" s="43"/>
    </row>
    <row r="14" spans="1:30" ht="14.25" customHeight="1" x14ac:dyDescent="0.25">
      <c r="A14" s="47">
        <v>4</v>
      </c>
      <c r="B14" s="48" t="s">
        <v>58</v>
      </c>
      <c r="C14" s="49" t="s">
        <v>59</v>
      </c>
      <c r="D14" s="50">
        <f t="shared" si="3"/>
        <v>23998</v>
      </c>
      <c r="E14" s="50">
        <v>1431</v>
      </c>
      <c r="F14" s="50">
        <v>1629</v>
      </c>
      <c r="G14" s="50">
        <v>2102</v>
      </c>
      <c r="H14" s="50">
        <v>0</v>
      </c>
      <c r="I14" s="50">
        <v>377</v>
      </c>
      <c r="J14" s="50">
        <v>0</v>
      </c>
      <c r="K14" s="50">
        <f t="shared" si="4"/>
        <v>133</v>
      </c>
      <c r="L14" s="50">
        <v>0</v>
      </c>
      <c r="M14" s="50">
        <v>133</v>
      </c>
      <c r="N14" s="50">
        <f t="shared" si="5"/>
        <v>0</v>
      </c>
      <c r="O14" s="50">
        <v>0</v>
      </c>
      <c r="P14" s="50">
        <v>0</v>
      </c>
      <c r="Q14" s="50">
        <v>0</v>
      </c>
      <c r="R14" s="50">
        <v>0</v>
      </c>
      <c r="S14" s="50">
        <f t="shared" si="7"/>
        <v>18326</v>
      </c>
      <c r="T14" s="50">
        <v>0</v>
      </c>
      <c r="U14" s="50">
        <v>857</v>
      </c>
      <c r="V14" s="50">
        <f t="shared" si="6"/>
        <v>17469</v>
      </c>
      <c r="W14" s="50">
        <v>4075</v>
      </c>
      <c r="X14" s="50">
        <v>13394</v>
      </c>
      <c r="Y14" s="42"/>
      <c r="Z14" s="42"/>
      <c r="AA14" s="43"/>
    </row>
    <row r="15" spans="1:30" x14ac:dyDescent="0.25">
      <c r="A15" s="47">
        <v>5</v>
      </c>
      <c r="B15" s="48" t="s">
        <v>60</v>
      </c>
      <c r="C15" s="49" t="s">
        <v>61</v>
      </c>
      <c r="D15" s="50">
        <f t="shared" si="3"/>
        <v>27244</v>
      </c>
      <c r="E15" s="50">
        <v>1631</v>
      </c>
      <c r="F15" s="50">
        <v>1724</v>
      </c>
      <c r="G15" s="50">
        <v>2282</v>
      </c>
      <c r="H15" s="50">
        <v>0</v>
      </c>
      <c r="I15" s="50">
        <v>510</v>
      </c>
      <c r="J15" s="50">
        <v>0</v>
      </c>
      <c r="K15" s="50">
        <f t="shared" si="4"/>
        <v>1506</v>
      </c>
      <c r="L15" s="50">
        <v>12</v>
      </c>
      <c r="M15" s="50">
        <v>1494</v>
      </c>
      <c r="N15" s="50">
        <f t="shared" si="5"/>
        <v>0</v>
      </c>
      <c r="O15" s="50">
        <v>0</v>
      </c>
      <c r="P15" s="50">
        <v>0</v>
      </c>
      <c r="Q15" s="50">
        <v>0</v>
      </c>
      <c r="R15" s="50">
        <v>0</v>
      </c>
      <c r="S15" s="50">
        <f t="shared" si="7"/>
        <v>19591</v>
      </c>
      <c r="T15" s="50">
        <v>0</v>
      </c>
      <c r="U15" s="50">
        <v>888</v>
      </c>
      <c r="V15" s="50">
        <f t="shared" si="6"/>
        <v>18703</v>
      </c>
      <c r="W15" s="50">
        <v>4587</v>
      </c>
      <c r="X15" s="50">
        <v>14116</v>
      </c>
      <c r="Y15" s="42"/>
      <c r="Z15" s="42"/>
      <c r="AA15" s="43"/>
    </row>
    <row r="16" spans="1:30" x14ac:dyDescent="0.25">
      <c r="A16" s="47">
        <v>6</v>
      </c>
      <c r="B16" s="166" t="s">
        <v>18</v>
      </c>
      <c r="C16" s="49" t="s">
        <v>19</v>
      </c>
      <c r="D16" s="50">
        <f t="shared" si="3"/>
        <v>200716</v>
      </c>
      <c r="E16" s="50">
        <v>12315</v>
      </c>
      <c r="F16" s="50">
        <v>1079</v>
      </c>
      <c r="G16" s="50">
        <v>16344</v>
      </c>
      <c r="H16" s="50">
        <v>1128</v>
      </c>
      <c r="I16" s="50">
        <v>4404</v>
      </c>
      <c r="J16" s="50">
        <v>6697</v>
      </c>
      <c r="K16" s="50">
        <f t="shared" si="4"/>
        <v>5941</v>
      </c>
      <c r="L16" s="50">
        <v>0</v>
      </c>
      <c r="M16" s="50">
        <v>5941</v>
      </c>
      <c r="N16" s="50">
        <f t="shared" si="5"/>
        <v>0</v>
      </c>
      <c r="O16" s="50">
        <v>0</v>
      </c>
      <c r="P16" s="50">
        <v>0</v>
      </c>
      <c r="Q16" s="50">
        <v>0</v>
      </c>
      <c r="R16" s="50">
        <v>0</v>
      </c>
      <c r="S16" s="50">
        <f t="shared" si="7"/>
        <v>152808</v>
      </c>
      <c r="T16" s="50">
        <v>0</v>
      </c>
      <c r="U16" s="50">
        <v>7665</v>
      </c>
      <c r="V16" s="50">
        <f t="shared" si="6"/>
        <v>145143</v>
      </c>
      <c r="W16" s="50">
        <v>34903</v>
      </c>
      <c r="X16" s="50">
        <v>110240</v>
      </c>
      <c r="Y16" s="42"/>
      <c r="Z16" s="42"/>
      <c r="AA16" s="43"/>
    </row>
    <row r="17" spans="1:91" x14ac:dyDescent="0.25">
      <c r="A17" s="47">
        <v>7</v>
      </c>
      <c r="B17" s="48" t="s">
        <v>62</v>
      </c>
      <c r="C17" s="49" t="s">
        <v>63</v>
      </c>
      <c r="D17" s="50">
        <f t="shared" si="3"/>
        <v>69230</v>
      </c>
      <c r="E17" s="50">
        <v>4292</v>
      </c>
      <c r="F17" s="50">
        <v>2049</v>
      </c>
      <c r="G17" s="50">
        <v>5991</v>
      </c>
      <c r="H17" s="50">
        <v>0</v>
      </c>
      <c r="I17" s="50">
        <v>1338</v>
      </c>
      <c r="J17" s="50">
        <v>0</v>
      </c>
      <c r="K17" s="50">
        <f t="shared" si="4"/>
        <v>1515</v>
      </c>
      <c r="L17" s="50">
        <v>10</v>
      </c>
      <c r="M17" s="50">
        <v>1505</v>
      </c>
      <c r="N17" s="50">
        <f t="shared" si="5"/>
        <v>0</v>
      </c>
      <c r="O17" s="50">
        <v>0</v>
      </c>
      <c r="P17" s="50">
        <v>0</v>
      </c>
      <c r="Q17" s="50">
        <v>0</v>
      </c>
      <c r="R17" s="50">
        <v>0</v>
      </c>
      <c r="S17" s="50">
        <f t="shared" si="7"/>
        <v>54045</v>
      </c>
      <c r="T17" s="50">
        <v>236</v>
      </c>
      <c r="U17" s="50">
        <v>2333</v>
      </c>
      <c r="V17" s="50">
        <f t="shared" si="6"/>
        <v>51476</v>
      </c>
      <c r="W17" s="50">
        <v>12435</v>
      </c>
      <c r="X17" s="50">
        <v>39041</v>
      </c>
      <c r="Y17" s="42"/>
      <c r="Z17" s="42"/>
      <c r="AA17" s="43"/>
    </row>
    <row r="18" spans="1:91" x14ac:dyDescent="0.25">
      <c r="A18" s="47">
        <v>8</v>
      </c>
      <c r="B18" s="166" t="s">
        <v>64</v>
      </c>
      <c r="C18" s="49" t="s">
        <v>65</v>
      </c>
      <c r="D18" s="50">
        <f t="shared" si="3"/>
        <v>28086</v>
      </c>
      <c r="E18" s="50">
        <v>1717</v>
      </c>
      <c r="F18" s="50">
        <v>1341</v>
      </c>
      <c r="G18" s="50">
        <v>2418</v>
      </c>
      <c r="H18" s="50">
        <v>3</v>
      </c>
      <c r="I18" s="50">
        <v>552</v>
      </c>
      <c r="J18" s="50">
        <v>0</v>
      </c>
      <c r="K18" s="50">
        <f t="shared" si="4"/>
        <v>1213</v>
      </c>
      <c r="L18" s="50">
        <v>0</v>
      </c>
      <c r="M18" s="50">
        <v>1213</v>
      </c>
      <c r="N18" s="50">
        <f t="shared" si="5"/>
        <v>0</v>
      </c>
      <c r="O18" s="50">
        <v>0</v>
      </c>
      <c r="P18" s="50">
        <v>0</v>
      </c>
      <c r="Q18" s="50">
        <v>0</v>
      </c>
      <c r="R18" s="50">
        <v>0</v>
      </c>
      <c r="S18" s="50">
        <f t="shared" si="7"/>
        <v>20842</v>
      </c>
      <c r="T18" s="50">
        <v>0</v>
      </c>
      <c r="U18" s="50">
        <v>666</v>
      </c>
      <c r="V18" s="50">
        <f t="shared" si="6"/>
        <v>20176</v>
      </c>
      <c r="W18" s="50">
        <v>4852</v>
      </c>
      <c r="X18" s="50">
        <v>15324</v>
      </c>
      <c r="Y18" s="42"/>
      <c r="Z18" s="42"/>
      <c r="AA18" s="43"/>
    </row>
    <row r="19" spans="1:91" x14ac:dyDescent="0.25">
      <c r="A19" s="47">
        <v>9</v>
      </c>
      <c r="B19" s="166" t="s">
        <v>66</v>
      </c>
      <c r="C19" s="49" t="s">
        <v>67</v>
      </c>
      <c r="D19" s="50">
        <f t="shared" si="3"/>
        <v>25599</v>
      </c>
      <c r="E19" s="50">
        <v>1520</v>
      </c>
      <c r="F19" s="50">
        <v>1951</v>
      </c>
      <c r="G19" s="50">
        <v>2165</v>
      </c>
      <c r="H19" s="50">
        <v>15</v>
      </c>
      <c r="I19" s="50">
        <v>461</v>
      </c>
      <c r="J19" s="50">
        <v>0</v>
      </c>
      <c r="K19" s="50">
        <f t="shared" si="4"/>
        <v>576</v>
      </c>
      <c r="L19" s="50">
        <v>0</v>
      </c>
      <c r="M19" s="50">
        <v>576</v>
      </c>
      <c r="N19" s="50">
        <f t="shared" si="5"/>
        <v>0</v>
      </c>
      <c r="O19" s="50">
        <v>0</v>
      </c>
      <c r="P19" s="50">
        <v>0</v>
      </c>
      <c r="Q19" s="50">
        <v>0</v>
      </c>
      <c r="R19" s="50">
        <v>0</v>
      </c>
      <c r="S19" s="50">
        <f t="shared" si="7"/>
        <v>18911</v>
      </c>
      <c r="T19" s="50">
        <v>0</v>
      </c>
      <c r="U19" s="50">
        <v>1838</v>
      </c>
      <c r="V19" s="50">
        <f t="shared" si="6"/>
        <v>17073</v>
      </c>
      <c r="W19" s="50">
        <v>4291</v>
      </c>
      <c r="X19" s="50">
        <v>12782</v>
      </c>
      <c r="Y19" s="42"/>
      <c r="Z19" s="42"/>
      <c r="AA19" s="43"/>
    </row>
    <row r="20" spans="1:91" x14ac:dyDescent="0.25">
      <c r="A20" s="47">
        <v>10</v>
      </c>
      <c r="B20" s="166" t="s">
        <v>68</v>
      </c>
      <c r="C20" s="49" t="s">
        <v>69</v>
      </c>
      <c r="D20" s="50">
        <f t="shared" si="3"/>
        <v>33943</v>
      </c>
      <c r="E20" s="50">
        <v>2075</v>
      </c>
      <c r="F20" s="50">
        <v>1626</v>
      </c>
      <c r="G20" s="50">
        <v>3028</v>
      </c>
      <c r="H20" s="50">
        <v>0</v>
      </c>
      <c r="I20" s="50">
        <v>707</v>
      </c>
      <c r="J20" s="50">
        <v>0</v>
      </c>
      <c r="K20" s="50">
        <f t="shared" si="4"/>
        <v>800</v>
      </c>
      <c r="L20" s="50">
        <v>2</v>
      </c>
      <c r="M20" s="50">
        <v>798</v>
      </c>
      <c r="N20" s="50">
        <f t="shared" si="5"/>
        <v>0</v>
      </c>
      <c r="O20" s="50">
        <v>0</v>
      </c>
      <c r="P20" s="50">
        <v>0</v>
      </c>
      <c r="Q20" s="50">
        <v>0</v>
      </c>
      <c r="R20" s="50">
        <v>0</v>
      </c>
      <c r="S20" s="50">
        <f t="shared" si="7"/>
        <v>25707</v>
      </c>
      <c r="T20" s="50">
        <v>0</v>
      </c>
      <c r="U20" s="50">
        <v>1707</v>
      </c>
      <c r="V20" s="50">
        <f t="shared" si="6"/>
        <v>24000</v>
      </c>
      <c r="W20" s="50">
        <v>5932</v>
      </c>
      <c r="X20" s="50">
        <v>18068</v>
      </c>
      <c r="Y20" s="42"/>
      <c r="Z20" s="42"/>
      <c r="AA20" s="43"/>
    </row>
    <row r="21" spans="1:91" x14ac:dyDescent="0.25">
      <c r="A21" s="47">
        <v>11</v>
      </c>
      <c r="B21" s="166" t="s">
        <v>70</v>
      </c>
      <c r="C21" s="49" t="s">
        <v>71</v>
      </c>
      <c r="D21" s="50">
        <f t="shared" si="3"/>
        <v>26008</v>
      </c>
      <c r="E21" s="50">
        <v>1549</v>
      </c>
      <c r="F21" s="50">
        <v>1765</v>
      </c>
      <c r="G21" s="50">
        <v>2154</v>
      </c>
      <c r="H21" s="50">
        <v>9</v>
      </c>
      <c r="I21" s="50">
        <v>492</v>
      </c>
      <c r="J21" s="50">
        <v>0</v>
      </c>
      <c r="K21" s="50">
        <f t="shared" si="4"/>
        <v>1313</v>
      </c>
      <c r="L21" s="50">
        <v>0</v>
      </c>
      <c r="M21" s="50">
        <v>1313</v>
      </c>
      <c r="N21" s="50">
        <f t="shared" si="5"/>
        <v>0</v>
      </c>
      <c r="O21" s="50">
        <v>0</v>
      </c>
      <c r="P21" s="50">
        <v>0</v>
      </c>
      <c r="Q21" s="50">
        <v>0</v>
      </c>
      <c r="R21" s="50">
        <v>0</v>
      </c>
      <c r="S21" s="50">
        <f t="shared" si="7"/>
        <v>18726</v>
      </c>
      <c r="T21" s="50">
        <v>0</v>
      </c>
      <c r="U21" s="50">
        <v>1623</v>
      </c>
      <c r="V21" s="50">
        <f t="shared" si="6"/>
        <v>17103</v>
      </c>
      <c r="W21" s="50">
        <v>4215</v>
      </c>
      <c r="X21" s="50">
        <v>12888</v>
      </c>
      <c r="Y21" s="42"/>
      <c r="Z21" s="42"/>
      <c r="AA21" s="43"/>
    </row>
    <row r="22" spans="1:91" x14ac:dyDescent="0.25">
      <c r="A22" s="47">
        <v>12</v>
      </c>
      <c r="B22" s="166" t="s">
        <v>72</v>
      </c>
      <c r="C22" s="49" t="s">
        <v>73</v>
      </c>
      <c r="D22" s="50">
        <f t="shared" si="3"/>
        <v>52365</v>
      </c>
      <c r="E22" s="50">
        <v>3193</v>
      </c>
      <c r="F22" s="50">
        <v>2382</v>
      </c>
      <c r="G22" s="50">
        <v>4461</v>
      </c>
      <c r="H22" s="50">
        <v>3</v>
      </c>
      <c r="I22" s="50">
        <v>1017</v>
      </c>
      <c r="J22" s="50">
        <v>0</v>
      </c>
      <c r="K22" s="50">
        <f t="shared" si="4"/>
        <v>2645</v>
      </c>
      <c r="L22" s="50">
        <v>0</v>
      </c>
      <c r="M22" s="50">
        <v>2645</v>
      </c>
      <c r="N22" s="50">
        <f t="shared" si="5"/>
        <v>0</v>
      </c>
      <c r="O22" s="50">
        <v>0</v>
      </c>
      <c r="P22" s="50">
        <v>0</v>
      </c>
      <c r="Q22" s="50">
        <v>0</v>
      </c>
      <c r="R22" s="50">
        <v>0</v>
      </c>
      <c r="S22" s="50">
        <f t="shared" si="7"/>
        <v>38664</v>
      </c>
      <c r="T22" s="50">
        <v>0</v>
      </c>
      <c r="U22" s="50">
        <v>1000</v>
      </c>
      <c r="V22" s="50">
        <f t="shared" si="6"/>
        <v>37664</v>
      </c>
      <c r="W22" s="50">
        <v>9101</v>
      </c>
      <c r="X22" s="50">
        <v>28563</v>
      </c>
      <c r="Y22" s="42"/>
      <c r="Z22" s="42"/>
      <c r="AA22" s="43"/>
    </row>
    <row r="23" spans="1:91" x14ac:dyDescent="0.25">
      <c r="A23" s="47">
        <v>13</v>
      </c>
      <c r="B23" s="166" t="s">
        <v>74</v>
      </c>
      <c r="C23" s="49" t="s">
        <v>75</v>
      </c>
      <c r="D23" s="50">
        <f t="shared" si="3"/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f t="shared" si="4"/>
        <v>0</v>
      </c>
      <c r="L23" s="50">
        <v>0</v>
      </c>
      <c r="M23" s="50">
        <v>0</v>
      </c>
      <c r="N23" s="50">
        <f t="shared" si="5"/>
        <v>0</v>
      </c>
      <c r="O23" s="50">
        <v>0</v>
      </c>
      <c r="P23" s="50">
        <v>0</v>
      </c>
      <c r="Q23" s="50">
        <v>0</v>
      </c>
      <c r="R23" s="50">
        <v>0</v>
      </c>
      <c r="S23" s="50">
        <f t="shared" si="7"/>
        <v>0</v>
      </c>
      <c r="T23" s="50">
        <v>0</v>
      </c>
      <c r="U23" s="50">
        <v>0</v>
      </c>
      <c r="V23" s="50">
        <f t="shared" si="6"/>
        <v>0</v>
      </c>
      <c r="W23" s="50">
        <v>0</v>
      </c>
      <c r="X23" s="50">
        <v>0</v>
      </c>
      <c r="Y23" s="42"/>
      <c r="Z23" s="42"/>
      <c r="AA23" s="43"/>
    </row>
    <row r="24" spans="1:91" x14ac:dyDescent="0.25">
      <c r="A24" s="47">
        <v>14</v>
      </c>
      <c r="B24" s="166" t="s">
        <v>76</v>
      </c>
      <c r="C24" s="49" t="s">
        <v>77</v>
      </c>
      <c r="D24" s="50">
        <f t="shared" si="3"/>
        <v>33525</v>
      </c>
      <c r="E24" s="50">
        <v>2051</v>
      </c>
      <c r="F24" s="50">
        <v>1408</v>
      </c>
      <c r="G24" s="50">
        <v>2768</v>
      </c>
      <c r="H24" s="50">
        <v>381</v>
      </c>
      <c r="I24" s="50">
        <v>708</v>
      </c>
      <c r="J24" s="50">
        <v>0</v>
      </c>
      <c r="K24" s="50">
        <f t="shared" si="4"/>
        <v>600</v>
      </c>
      <c r="L24" s="50">
        <v>22</v>
      </c>
      <c r="M24" s="50">
        <v>578</v>
      </c>
      <c r="N24" s="50">
        <f t="shared" si="5"/>
        <v>0</v>
      </c>
      <c r="O24" s="50">
        <v>0</v>
      </c>
      <c r="P24" s="50">
        <v>0</v>
      </c>
      <c r="Q24" s="50">
        <v>0</v>
      </c>
      <c r="R24" s="50">
        <v>0</v>
      </c>
      <c r="S24" s="50">
        <f t="shared" si="7"/>
        <v>25609</v>
      </c>
      <c r="T24" s="50">
        <v>0</v>
      </c>
      <c r="U24" s="50">
        <v>529</v>
      </c>
      <c r="V24" s="50">
        <f t="shared" si="6"/>
        <v>25080</v>
      </c>
      <c r="W24" s="50">
        <v>5792</v>
      </c>
      <c r="X24" s="50">
        <v>19288</v>
      </c>
      <c r="Y24" s="42"/>
      <c r="Z24" s="42"/>
      <c r="AA24" s="43"/>
      <c r="CM24" s="52"/>
    </row>
    <row r="25" spans="1:91" x14ac:dyDescent="0.25">
      <c r="A25" s="47">
        <v>15</v>
      </c>
      <c r="B25" s="166" t="s">
        <v>78</v>
      </c>
      <c r="C25" s="49" t="s">
        <v>79</v>
      </c>
      <c r="D25" s="50">
        <f t="shared" si="3"/>
        <v>51539</v>
      </c>
      <c r="E25" s="50">
        <v>3125</v>
      </c>
      <c r="F25" s="50">
        <v>2548</v>
      </c>
      <c r="G25" s="50">
        <v>3996</v>
      </c>
      <c r="H25" s="50">
        <v>42</v>
      </c>
      <c r="I25" s="50">
        <v>1046</v>
      </c>
      <c r="J25" s="50">
        <v>0</v>
      </c>
      <c r="K25" s="50">
        <f t="shared" si="4"/>
        <v>1535</v>
      </c>
      <c r="L25" s="50">
        <v>7</v>
      </c>
      <c r="M25" s="50">
        <v>1528</v>
      </c>
      <c r="N25" s="50">
        <f t="shared" si="5"/>
        <v>0</v>
      </c>
      <c r="O25" s="50">
        <v>0</v>
      </c>
      <c r="P25" s="50">
        <v>0</v>
      </c>
      <c r="Q25" s="50">
        <v>0</v>
      </c>
      <c r="R25" s="50">
        <v>0</v>
      </c>
      <c r="S25" s="50">
        <f t="shared" si="7"/>
        <v>39247</v>
      </c>
      <c r="T25" s="50">
        <v>0</v>
      </c>
      <c r="U25" s="50">
        <v>1534</v>
      </c>
      <c r="V25" s="50">
        <f t="shared" si="6"/>
        <v>37713</v>
      </c>
      <c r="W25" s="50">
        <v>8278</v>
      </c>
      <c r="X25" s="50">
        <v>29435</v>
      </c>
      <c r="Y25" s="42"/>
      <c r="Z25" s="42"/>
      <c r="AA25" s="43"/>
    </row>
    <row r="26" spans="1:91" x14ac:dyDescent="0.25">
      <c r="A26" s="47">
        <v>16</v>
      </c>
      <c r="B26" s="166" t="s">
        <v>80</v>
      </c>
      <c r="C26" s="49" t="s">
        <v>81</v>
      </c>
      <c r="D26" s="50">
        <f t="shared" si="3"/>
        <v>64757</v>
      </c>
      <c r="E26" s="50">
        <v>3969</v>
      </c>
      <c r="F26" s="50">
        <v>2562</v>
      </c>
      <c r="G26" s="50">
        <v>5225</v>
      </c>
      <c r="H26" s="50">
        <v>3</v>
      </c>
      <c r="I26" s="50">
        <v>1322</v>
      </c>
      <c r="J26" s="50">
        <v>0</v>
      </c>
      <c r="K26" s="50">
        <f t="shared" si="4"/>
        <v>1588</v>
      </c>
      <c r="L26" s="50">
        <v>1</v>
      </c>
      <c r="M26" s="50">
        <v>1587</v>
      </c>
      <c r="N26" s="50">
        <f t="shared" si="5"/>
        <v>0</v>
      </c>
      <c r="O26" s="50">
        <v>0</v>
      </c>
      <c r="P26" s="50">
        <v>0</v>
      </c>
      <c r="Q26" s="50">
        <v>0</v>
      </c>
      <c r="R26" s="50">
        <v>0</v>
      </c>
      <c r="S26" s="50">
        <f t="shared" si="7"/>
        <v>50088</v>
      </c>
      <c r="T26" s="50">
        <v>0</v>
      </c>
      <c r="U26" s="50">
        <v>1268</v>
      </c>
      <c r="V26" s="50">
        <f t="shared" si="6"/>
        <v>48820</v>
      </c>
      <c r="W26" s="50">
        <v>10933</v>
      </c>
      <c r="X26" s="50">
        <v>37887</v>
      </c>
      <c r="Y26" s="42"/>
      <c r="Z26" s="42"/>
      <c r="AA26" s="43"/>
    </row>
    <row r="27" spans="1:91" x14ac:dyDescent="0.25">
      <c r="A27" s="47">
        <v>17</v>
      </c>
      <c r="B27" s="166" t="s">
        <v>20</v>
      </c>
      <c r="C27" s="49" t="s">
        <v>21</v>
      </c>
      <c r="D27" s="50">
        <f t="shared" si="3"/>
        <v>119509</v>
      </c>
      <c r="E27" s="50">
        <v>7397</v>
      </c>
      <c r="F27" s="50">
        <v>3648</v>
      </c>
      <c r="G27" s="50">
        <v>9987</v>
      </c>
      <c r="H27" s="50">
        <v>3</v>
      </c>
      <c r="I27" s="50">
        <v>2498</v>
      </c>
      <c r="J27" s="50">
        <v>0</v>
      </c>
      <c r="K27" s="50">
        <f t="shared" si="4"/>
        <v>3263</v>
      </c>
      <c r="L27" s="50">
        <v>45</v>
      </c>
      <c r="M27" s="50">
        <v>3218</v>
      </c>
      <c r="N27" s="50">
        <f t="shared" si="5"/>
        <v>0</v>
      </c>
      <c r="O27" s="50">
        <v>0</v>
      </c>
      <c r="P27" s="50">
        <v>0</v>
      </c>
      <c r="Q27" s="50">
        <v>0</v>
      </c>
      <c r="R27" s="50">
        <v>0</v>
      </c>
      <c r="S27" s="50">
        <f t="shared" si="7"/>
        <v>92713</v>
      </c>
      <c r="T27" s="50">
        <v>713</v>
      </c>
      <c r="U27" s="50">
        <v>3320</v>
      </c>
      <c r="V27" s="50">
        <f t="shared" si="6"/>
        <v>88680</v>
      </c>
      <c r="W27" s="50">
        <v>20237</v>
      </c>
      <c r="X27" s="50">
        <v>68443</v>
      </c>
      <c r="Y27" s="42"/>
      <c r="Z27" s="42"/>
      <c r="AA27" s="43"/>
    </row>
    <row r="28" spans="1:91" x14ac:dyDescent="0.25">
      <c r="A28" s="47">
        <v>18</v>
      </c>
      <c r="B28" s="48" t="s">
        <v>82</v>
      </c>
      <c r="C28" s="49" t="s">
        <v>83</v>
      </c>
      <c r="D28" s="50">
        <f t="shared" si="3"/>
        <v>21644</v>
      </c>
      <c r="E28" s="50">
        <v>1295</v>
      </c>
      <c r="F28" s="50">
        <v>1327</v>
      </c>
      <c r="G28" s="50">
        <v>1626</v>
      </c>
      <c r="H28" s="50">
        <v>225</v>
      </c>
      <c r="I28" s="50">
        <v>438</v>
      </c>
      <c r="J28" s="50">
        <v>0</v>
      </c>
      <c r="K28" s="50">
        <f t="shared" si="4"/>
        <v>797</v>
      </c>
      <c r="L28" s="50">
        <v>0</v>
      </c>
      <c r="M28" s="50">
        <v>797</v>
      </c>
      <c r="N28" s="50">
        <f t="shared" si="5"/>
        <v>0</v>
      </c>
      <c r="O28" s="50">
        <v>0</v>
      </c>
      <c r="P28" s="50">
        <v>0</v>
      </c>
      <c r="Q28" s="50">
        <v>0</v>
      </c>
      <c r="R28" s="50">
        <v>0</v>
      </c>
      <c r="S28" s="50">
        <f t="shared" si="7"/>
        <v>15936</v>
      </c>
      <c r="T28" s="50">
        <v>0</v>
      </c>
      <c r="U28" s="50">
        <v>725</v>
      </c>
      <c r="V28" s="50">
        <f t="shared" si="6"/>
        <v>15211</v>
      </c>
      <c r="W28" s="50">
        <v>3355</v>
      </c>
      <c r="X28" s="50">
        <v>11856</v>
      </c>
      <c r="Y28" s="42"/>
      <c r="Z28" s="42"/>
      <c r="AA28" s="43"/>
    </row>
    <row r="29" spans="1:91" x14ac:dyDescent="0.25">
      <c r="A29" s="47">
        <v>19</v>
      </c>
      <c r="B29" s="48" t="s">
        <v>84</v>
      </c>
      <c r="C29" s="49" t="s">
        <v>85</v>
      </c>
      <c r="D29" s="50">
        <f t="shared" si="3"/>
        <v>16456</v>
      </c>
      <c r="E29" s="50">
        <v>993</v>
      </c>
      <c r="F29" s="50">
        <v>905</v>
      </c>
      <c r="G29" s="50">
        <v>1377</v>
      </c>
      <c r="H29" s="50">
        <v>6</v>
      </c>
      <c r="I29" s="50">
        <v>323</v>
      </c>
      <c r="J29" s="50">
        <v>0</v>
      </c>
      <c r="K29" s="50">
        <f t="shared" si="4"/>
        <v>346</v>
      </c>
      <c r="L29" s="50">
        <v>0</v>
      </c>
      <c r="M29" s="50">
        <v>346</v>
      </c>
      <c r="N29" s="50">
        <f t="shared" si="5"/>
        <v>0</v>
      </c>
      <c r="O29" s="50">
        <v>0</v>
      </c>
      <c r="P29" s="50">
        <v>0</v>
      </c>
      <c r="Q29" s="50">
        <v>0</v>
      </c>
      <c r="R29" s="50">
        <v>0</v>
      </c>
      <c r="S29" s="50">
        <f t="shared" si="7"/>
        <v>12506</v>
      </c>
      <c r="T29" s="50">
        <v>0</v>
      </c>
      <c r="U29" s="50">
        <v>1145</v>
      </c>
      <c r="V29" s="50">
        <f t="shared" si="6"/>
        <v>11361</v>
      </c>
      <c r="W29" s="50">
        <v>2751</v>
      </c>
      <c r="X29" s="50">
        <v>8610</v>
      </c>
      <c r="Y29" s="42"/>
      <c r="Z29" s="42"/>
      <c r="AA29" s="43"/>
    </row>
    <row r="30" spans="1:91" x14ac:dyDescent="0.25">
      <c r="A30" s="47">
        <v>20</v>
      </c>
      <c r="B30" s="48" t="s">
        <v>86</v>
      </c>
      <c r="C30" s="49" t="s">
        <v>87</v>
      </c>
      <c r="D30" s="50">
        <f t="shared" si="3"/>
        <v>84500</v>
      </c>
      <c r="E30" s="50">
        <v>5250</v>
      </c>
      <c r="F30" s="50">
        <v>2279</v>
      </c>
      <c r="G30" s="50">
        <v>7111</v>
      </c>
      <c r="H30" s="50">
        <v>48</v>
      </c>
      <c r="I30" s="50">
        <v>1736</v>
      </c>
      <c r="J30" s="50">
        <v>0</v>
      </c>
      <c r="K30" s="50">
        <f t="shared" si="4"/>
        <v>4318</v>
      </c>
      <c r="L30" s="50">
        <v>0</v>
      </c>
      <c r="M30" s="50">
        <v>4318</v>
      </c>
      <c r="N30" s="50">
        <f t="shared" si="5"/>
        <v>0</v>
      </c>
      <c r="O30" s="50">
        <v>0</v>
      </c>
      <c r="P30" s="50">
        <v>0</v>
      </c>
      <c r="Q30" s="50">
        <v>0</v>
      </c>
      <c r="R30" s="50">
        <v>0</v>
      </c>
      <c r="S30" s="50">
        <f t="shared" si="7"/>
        <v>63758</v>
      </c>
      <c r="T30" s="50">
        <v>2100</v>
      </c>
      <c r="U30" s="50">
        <v>1607</v>
      </c>
      <c r="V30" s="50">
        <f t="shared" si="6"/>
        <v>60051</v>
      </c>
      <c r="W30" s="50">
        <v>14392</v>
      </c>
      <c r="X30" s="50">
        <v>45659</v>
      </c>
      <c r="Y30" s="42"/>
      <c r="Z30" s="42"/>
      <c r="AA30" s="43"/>
    </row>
    <row r="31" spans="1:91" x14ac:dyDescent="0.25">
      <c r="A31" s="47">
        <v>21</v>
      </c>
      <c r="B31" s="48" t="s">
        <v>22</v>
      </c>
      <c r="C31" s="49" t="s">
        <v>23</v>
      </c>
      <c r="D31" s="50">
        <f t="shared" si="3"/>
        <v>71698</v>
      </c>
      <c r="E31" s="50">
        <v>4544</v>
      </c>
      <c r="F31" s="50">
        <v>487</v>
      </c>
      <c r="G31" s="50">
        <v>5967</v>
      </c>
      <c r="H31" s="50">
        <v>630</v>
      </c>
      <c r="I31" s="50">
        <v>1624</v>
      </c>
      <c r="J31" s="50">
        <v>0</v>
      </c>
      <c r="K31" s="50">
        <f t="shared" si="4"/>
        <v>2929</v>
      </c>
      <c r="L31" s="50">
        <v>53</v>
      </c>
      <c r="M31" s="50">
        <v>2876</v>
      </c>
      <c r="N31" s="50">
        <f t="shared" si="5"/>
        <v>0</v>
      </c>
      <c r="O31" s="50">
        <v>0</v>
      </c>
      <c r="P31" s="50">
        <v>0</v>
      </c>
      <c r="Q31" s="50">
        <v>0</v>
      </c>
      <c r="R31" s="50">
        <v>0</v>
      </c>
      <c r="S31" s="50">
        <f t="shared" si="7"/>
        <v>55517</v>
      </c>
      <c r="T31" s="50">
        <v>0</v>
      </c>
      <c r="U31" s="50">
        <v>5517</v>
      </c>
      <c r="V31" s="50">
        <f t="shared" si="6"/>
        <v>50000</v>
      </c>
      <c r="W31" s="50">
        <v>12992</v>
      </c>
      <c r="X31" s="50">
        <v>37008</v>
      </c>
      <c r="Y31" s="42"/>
      <c r="Z31" s="42"/>
      <c r="AA31" s="43"/>
    </row>
    <row r="32" spans="1:91" ht="24" customHeight="1" x14ac:dyDescent="0.25">
      <c r="A32" s="47">
        <v>22</v>
      </c>
      <c r="B32" s="166" t="s">
        <v>24</v>
      </c>
      <c r="C32" s="49" t="s">
        <v>25</v>
      </c>
      <c r="D32" s="50">
        <f t="shared" si="3"/>
        <v>16721</v>
      </c>
      <c r="E32" s="50">
        <v>1043</v>
      </c>
      <c r="F32" s="50">
        <v>395</v>
      </c>
      <c r="G32" s="50">
        <v>1475</v>
      </c>
      <c r="H32" s="50">
        <v>3</v>
      </c>
      <c r="I32" s="50">
        <v>366</v>
      </c>
      <c r="J32" s="50">
        <v>0</v>
      </c>
      <c r="K32" s="50">
        <f t="shared" si="4"/>
        <v>591</v>
      </c>
      <c r="L32" s="50">
        <v>0</v>
      </c>
      <c r="M32" s="50">
        <v>591</v>
      </c>
      <c r="N32" s="50">
        <f t="shared" si="5"/>
        <v>0</v>
      </c>
      <c r="O32" s="50">
        <v>0</v>
      </c>
      <c r="P32" s="50">
        <v>0</v>
      </c>
      <c r="Q32" s="50">
        <v>0</v>
      </c>
      <c r="R32" s="50">
        <v>0</v>
      </c>
      <c r="S32" s="50">
        <f t="shared" si="7"/>
        <v>12848</v>
      </c>
      <c r="T32" s="50">
        <v>0</v>
      </c>
      <c r="U32" s="50">
        <v>1268</v>
      </c>
      <c r="V32" s="50">
        <f t="shared" si="6"/>
        <v>11580</v>
      </c>
      <c r="W32" s="50">
        <v>2899</v>
      </c>
      <c r="X32" s="50">
        <v>8681</v>
      </c>
      <c r="Y32" s="42"/>
      <c r="Z32" s="42"/>
      <c r="AA32" s="43"/>
    </row>
    <row r="33" spans="1:91" ht="12" customHeight="1" x14ac:dyDescent="0.25">
      <c r="A33" s="47">
        <v>23</v>
      </c>
      <c r="B33" s="166" t="s">
        <v>88</v>
      </c>
      <c r="C33" s="49" t="s">
        <v>89</v>
      </c>
      <c r="D33" s="50">
        <f t="shared" si="3"/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f t="shared" si="4"/>
        <v>0</v>
      </c>
      <c r="L33" s="50">
        <v>0</v>
      </c>
      <c r="M33" s="50">
        <v>0</v>
      </c>
      <c r="N33" s="50">
        <f t="shared" si="5"/>
        <v>0</v>
      </c>
      <c r="O33" s="50">
        <v>0</v>
      </c>
      <c r="P33" s="50">
        <v>0</v>
      </c>
      <c r="Q33" s="50">
        <v>0</v>
      </c>
      <c r="R33" s="50">
        <v>0</v>
      </c>
      <c r="S33" s="50">
        <f t="shared" si="7"/>
        <v>0</v>
      </c>
      <c r="T33" s="50">
        <v>0</v>
      </c>
      <c r="U33" s="50">
        <v>0</v>
      </c>
      <c r="V33" s="50">
        <f t="shared" si="6"/>
        <v>0</v>
      </c>
      <c r="W33" s="50">
        <v>0</v>
      </c>
      <c r="X33" s="50">
        <v>0</v>
      </c>
      <c r="Y33" s="42"/>
      <c r="Z33" s="42"/>
      <c r="AA33" s="43"/>
    </row>
    <row r="34" spans="1:91" ht="24" x14ac:dyDescent="0.25">
      <c r="A34" s="47">
        <v>24</v>
      </c>
      <c r="B34" s="166" t="s">
        <v>90</v>
      </c>
      <c r="C34" s="49" t="s">
        <v>91</v>
      </c>
      <c r="D34" s="50">
        <f t="shared" si="3"/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f t="shared" si="4"/>
        <v>0</v>
      </c>
      <c r="L34" s="50">
        <v>0</v>
      </c>
      <c r="M34" s="50">
        <v>0</v>
      </c>
      <c r="N34" s="50">
        <f t="shared" si="5"/>
        <v>0</v>
      </c>
      <c r="O34" s="50">
        <v>0</v>
      </c>
      <c r="P34" s="50">
        <v>0</v>
      </c>
      <c r="Q34" s="50">
        <v>0</v>
      </c>
      <c r="R34" s="50">
        <v>0</v>
      </c>
      <c r="S34" s="50">
        <f t="shared" si="7"/>
        <v>0</v>
      </c>
      <c r="T34" s="50">
        <v>0</v>
      </c>
      <c r="U34" s="50">
        <v>0</v>
      </c>
      <c r="V34" s="50">
        <f t="shared" si="6"/>
        <v>0</v>
      </c>
      <c r="W34" s="50">
        <v>0</v>
      </c>
      <c r="X34" s="50">
        <v>0</v>
      </c>
      <c r="Y34" s="42"/>
      <c r="Z34" s="42"/>
      <c r="AA34" s="43"/>
    </row>
    <row r="35" spans="1:91" ht="24" x14ac:dyDescent="0.25">
      <c r="A35" s="894">
        <v>25</v>
      </c>
      <c r="B35" s="617" t="s">
        <v>92</v>
      </c>
      <c r="C35" s="56" t="s">
        <v>771</v>
      </c>
      <c r="D35" s="685">
        <f t="shared" si="3"/>
        <v>328600</v>
      </c>
      <c r="E35" s="685">
        <f>20352+2358+1179</f>
        <v>23889</v>
      </c>
      <c r="F35" s="685">
        <f>3407+1102+551</f>
        <v>5060</v>
      </c>
      <c r="G35" s="685">
        <v>32239</v>
      </c>
      <c r="H35" s="685">
        <v>6</v>
      </c>
      <c r="I35" s="685">
        <v>8870</v>
      </c>
      <c r="J35" s="685">
        <v>12415</v>
      </c>
      <c r="K35" s="685">
        <f t="shared" si="4"/>
        <v>6638</v>
      </c>
      <c r="L35" s="685">
        <v>8</v>
      </c>
      <c r="M35" s="685">
        <f>3138+2328+1164</f>
        <v>6630</v>
      </c>
      <c r="N35" s="685">
        <f t="shared" si="5"/>
        <v>0</v>
      </c>
      <c r="O35" s="685">
        <v>0</v>
      </c>
      <c r="P35" s="685">
        <v>0</v>
      </c>
      <c r="Q35" s="685">
        <v>0</v>
      </c>
      <c r="R35" s="685">
        <f>4661+1200+600</f>
        <v>6461</v>
      </c>
      <c r="S35" s="685">
        <f t="shared" si="7"/>
        <v>233022</v>
      </c>
      <c r="T35" s="685">
        <v>0</v>
      </c>
      <c r="U35" s="685">
        <f>20232+150+75</f>
        <v>20457</v>
      </c>
      <c r="V35" s="685">
        <f t="shared" si="6"/>
        <v>212565</v>
      </c>
      <c r="W35" s="685">
        <v>7427</v>
      </c>
      <c r="X35" s="685">
        <f>163723+27610+13805</f>
        <v>205138</v>
      </c>
      <c r="Y35" s="42"/>
      <c r="Z35" s="42"/>
      <c r="AA35" s="43"/>
    </row>
    <row r="36" spans="1:91" ht="15.75" customHeight="1" x14ac:dyDescent="0.25">
      <c r="A36" s="896"/>
      <c r="B36" s="166" t="s">
        <v>94</v>
      </c>
      <c r="C36" s="49" t="s">
        <v>95</v>
      </c>
      <c r="D36" s="50">
        <f t="shared" si="3"/>
        <v>15727</v>
      </c>
      <c r="E36" s="50">
        <v>90</v>
      </c>
      <c r="F36" s="50">
        <v>133</v>
      </c>
      <c r="G36" s="50">
        <v>0</v>
      </c>
      <c r="H36" s="50">
        <v>0</v>
      </c>
      <c r="I36" s="50">
        <v>0</v>
      </c>
      <c r="J36" s="50">
        <v>0</v>
      </c>
      <c r="K36" s="50">
        <f t="shared" si="4"/>
        <v>2180</v>
      </c>
      <c r="L36" s="50">
        <v>0</v>
      </c>
      <c r="M36" s="50">
        <v>2180</v>
      </c>
      <c r="N36" s="50">
        <f t="shared" si="5"/>
        <v>0</v>
      </c>
      <c r="O36" s="50">
        <v>0</v>
      </c>
      <c r="P36" s="50">
        <v>0</v>
      </c>
      <c r="Q36" s="50">
        <v>0</v>
      </c>
      <c r="R36" s="50">
        <v>475</v>
      </c>
      <c r="S36" s="50">
        <f t="shared" si="7"/>
        <v>12849</v>
      </c>
      <c r="T36" s="50">
        <v>0</v>
      </c>
      <c r="U36" s="50">
        <v>38</v>
      </c>
      <c r="V36" s="50">
        <f t="shared" si="6"/>
        <v>12811</v>
      </c>
      <c r="W36" s="50">
        <v>0</v>
      </c>
      <c r="X36" s="50">
        <v>12811</v>
      </c>
      <c r="Y36" s="42"/>
      <c r="Z36" s="42"/>
      <c r="AA36" s="43"/>
    </row>
    <row r="37" spans="1:91" x14ac:dyDescent="0.25">
      <c r="A37" s="47">
        <v>26</v>
      </c>
      <c r="B37" s="51" t="s">
        <v>96</v>
      </c>
      <c r="C37" s="49" t="s">
        <v>97</v>
      </c>
      <c r="D37" s="50">
        <f t="shared" si="3"/>
        <v>56670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f t="shared" si="4"/>
        <v>0</v>
      </c>
      <c r="L37" s="50">
        <v>0</v>
      </c>
      <c r="M37" s="50">
        <v>0</v>
      </c>
      <c r="N37" s="50">
        <f t="shared" si="5"/>
        <v>0</v>
      </c>
      <c r="O37" s="50">
        <v>0</v>
      </c>
      <c r="P37" s="50">
        <v>0</v>
      </c>
      <c r="Q37" s="50">
        <v>0</v>
      </c>
      <c r="R37" s="50">
        <v>0</v>
      </c>
      <c r="S37" s="50">
        <f t="shared" si="7"/>
        <v>56670</v>
      </c>
      <c r="T37" s="50">
        <v>3883</v>
      </c>
      <c r="U37" s="50">
        <v>0</v>
      </c>
      <c r="V37" s="50">
        <f t="shared" si="6"/>
        <v>52787</v>
      </c>
      <c r="W37" s="50">
        <v>52787</v>
      </c>
      <c r="X37" s="50">
        <v>0</v>
      </c>
      <c r="Y37" s="42"/>
      <c r="Z37" s="42"/>
      <c r="AA37" s="43"/>
    </row>
    <row r="38" spans="1:91" x14ac:dyDescent="0.25">
      <c r="A38" s="47">
        <v>27</v>
      </c>
      <c r="B38" s="51" t="s">
        <v>26</v>
      </c>
      <c r="C38" s="49" t="s">
        <v>27</v>
      </c>
      <c r="D38" s="50">
        <f t="shared" si="3"/>
        <v>97968</v>
      </c>
      <c r="E38" s="50">
        <v>6117</v>
      </c>
      <c r="F38" s="50">
        <v>2236</v>
      </c>
      <c r="G38" s="50">
        <v>8604</v>
      </c>
      <c r="H38" s="50">
        <v>33</v>
      </c>
      <c r="I38" s="50">
        <v>2060</v>
      </c>
      <c r="J38" s="50">
        <v>0</v>
      </c>
      <c r="K38" s="50">
        <f t="shared" si="4"/>
        <v>1420</v>
      </c>
      <c r="L38" s="50">
        <v>10</v>
      </c>
      <c r="M38" s="50">
        <v>1410</v>
      </c>
      <c r="N38" s="50">
        <f t="shared" si="5"/>
        <v>0</v>
      </c>
      <c r="O38" s="50">
        <v>0</v>
      </c>
      <c r="P38" s="50">
        <v>0</v>
      </c>
      <c r="Q38" s="50">
        <v>0</v>
      </c>
      <c r="R38" s="50">
        <v>0</v>
      </c>
      <c r="S38" s="50">
        <f t="shared" si="7"/>
        <v>77498</v>
      </c>
      <c r="T38" s="50">
        <v>2329</v>
      </c>
      <c r="U38" s="50">
        <v>1950</v>
      </c>
      <c r="V38" s="50">
        <f t="shared" si="6"/>
        <v>73219</v>
      </c>
      <c r="W38" s="50">
        <v>16132</v>
      </c>
      <c r="X38" s="50">
        <v>57087</v>
      </c>
      <c r="Y38" s="42"/>
      <c r="Z38" s="42"/>
      <c r="AA38" s="43"/>
      <c r="CM38" s="52"/>
    </row>
    <row r="39" spans="1:91" x14ac:dyDescent="0.25">
      <c r="A39" s="47">
        <v>28</v>
      </c>
      <c r="B39" s="48" t="s">
        <v>98</v>
      </c>
      <c r="C39" s="49" t="s">
        <v>99</v>
      </c>
      <c r="D39" s="50">
        <f t="shared" si="3"/>
        <v>147268</v>
      </c>
      <c r="E39" s="50">
        <v>9243</v>
      </c>
      <c r="F39" s="50">
        <v>789</v>
      </c>
      <c r="G39" s="50">
        <v>12666</v>
      </c>
      <c r="H39" s="50">
        <v>6</v>
      </c>
      <c r="I39" s="50">
        <v>3343</v>
      </c>
      <c r="J39" s="50">
        <v>0</v>
      </c>
      <c r="K39" s="50">
        <f t="shared" si="4"/>
        <v>3172</v>
      </c>
      <c r="L39" s="50">
        <v>268</v>
      </c>
      <c r="M39" s="50">
        <v>2904</v>
      </c>
      <c r="N39" s="50">
        <f t="shared" si="5"/>
        <v>0</v>
      </c>
      <c r="O39" s="50">
        <v>0</v>
      </c>
      <c r="P39" s="50">
        <v>0</v>
      </c>
      <c r="Q39" s="50">
        <v>0</v>
      </c>
      <c r="R39" s="50">
        <v>0</v>
      </c>
      <c r="S39" s="50">
        <f t="shared" si="7"/>
        <v>118049</v>
      </c>
      <c r="T39" s="50">
        <v>3381</v>
      </c>
      <c r="U39" s="50">
        <v>2394</v>
      </c>
      <c r="V39" s="50">
        <f t="shared" si="6"/>
        <v>112274</v>
      </c>
      <c r="W39" s="50">
        <v>32907</v>
      </c>
      <c r="X39" s="50">
        <v>79367</v>
      </c>
      <c r="Y39" s="42"/>
      <c r="Z39" s="42"/>
      <c r="AA39" s="43"/>
    </row>
    <row r="40" spans="1:91" x14ac:dyDescent="0.25">
      <c r="A40" s="47">
        <v>29</v>
      </c>
      <c r="B40" s="51" t="s">
        <v>100</v>
      </c>
      <c r="C40" s="49" t="s">
        <v>101</v>
      </c>
      <c r="D40" s="50">
        <f t="shared" si="3"/>
        <v>29208</v>
      </c>
      <c r="E40" s="50">
        <v>1769</v>
      </c>
      <c r="F40" s="50">
        <v>1513</v>
      </c>
      <c r="G40" s="50">
        <v>2429</v>
      </c>
      <c r="H40" s="50">
        <v>6</v>
      </c>
      <c r="I40" s="50">
        <v>559</v>
      </c>
      <c r="J40" s="50">
        <v>0</v>
      </c>
      <c r="K40" s="50">
        <f t="shared" si="4"/>
        <v>590</v>
      </c>
      <c r="L40" s="50">
        <v>0</v>
      </c>
      <c r="M40" s="50">
        <v>590</v>
      </c>
      <c r="N40" s="50">
        <f t="shared" si="5"/>
        <v>0</v>
      </c>
      <c r="O40" s="50">
        <v>0</v>
      </c>
      <c r="P40" s="50">
        <v>0</v>
      </c>
      <c r="Q40" s="50">
        <v>0</v>
      </c>
      <c r="R40" s="50">
        <v>0</v>
      </c>
      <c r="S40" s="50">
        <f t="shared" si="7"/>
        <v>22342</v>
      </c>
      <c r="T40" s="50">
        <v>0</v>
      </c>
      <c r="U40" s="50">
        <v>1382</v>
      </c>
      <c r="V40" s="50">
        <f t="shared" si="6"/>
        <v>20960</v>
      </c>
      <c r="W40" s="50">
        <v>4981</v>
      </c>
      <c r="X40" s="50">
        <v>15979</v>
      </c>
      <c r="Y40" s="42"/>
      <c r="Z40" s="42"/>
      <c r="AA40" s="43"/>
    </row>
    <row r="41" spans="1:91" x14ac:dyDescent="0.25">
      <c r="A41" s="47">
        <v>30</v>
      </c>
      <c r="B41" s="166" t="s">
        <v>102</v>
      </c>
      <c r="C41" s="49" t="s">
        <v>103</v>
      </c>
      <c r="D41" s="50">
        <f t="shared" si="3"/>
        <v>101383</v>
      </c>
      <c r="E41" s="50">
        <v>6348</v>
      </c>
      <c r="F41" s="50">
        <v>2002</v>
      </c>
      <c r="G41" s="50">
        <v>8754</v>
      </c>
      <c r="H41" s="50">
        <v>15</v>
      </c>
      <c r="I41" s="50">
        <v>2165</v>
      </c>
      <c r="J41" s="50">
        <v>0</v>
      </c>
      <c r="K41" s="50">
        <f t="shared" si="4"/>
        <v>3586</v>
      </c>
      <c r="L41" s="50">
        <v>10</v>
      </c>
      <c r="M41" s="50">
        <v>3576</v>
      </c>
      <c r="N41" s="50">
        <f t="shared" si="5"/>
        <v>0</v>
      </c>
      <c r="O41" s="50">
        <v>0</v>
      </c>
      <c r="P41" s="50">
        <v>0</v>
      </c>
      <c r="Q41" s="50">
        <v>0</v>
      </c>
      <c r="R41" s="50">
        <v>0</v>
      </c>
      <c r="S41" s="50">
        <f t="shared" si="7"/>
        <v>78513</v>
      </c>
      <c r="T41" s="50">
        <v>1400</v>
      </c>
      <c r="U41" s="50">
        <v>530</v>
      </c>
      <c r="V41" s="50">
        <f t="shared" si="6"/>
        <v>76583</v>
      </c>
      <c r="W41" s="50">
        <v>17984</v>
      </c>
      <c r="X41" s="50">
        <v>58599</v>
      </c>
      <c r="Y41" s="42"/>
      <c r="Z41" s="42"/>
      <c r="AA41" s="43"/>
    </row>
    <row r="42" spans="1:91" x14ac:dyDescent="0.25">
      <c r="A42" s="47">
        <v>31</v>
      </c>
      <c r="B42" s="51" t="s">
        <v>104</v>
      </c>
      <c r="C42" s="49" t="s">
        <v>105</v>
      </c>
      <c r="D42" s="50">
        <f t="shared" si="3"/>
        <v>38697</v>
      </c>
      <c r="E42" s="50">
        <v>2349</v>
      </c>
      <c r="F42" s="50">
        <v>1921</v>
      </c>
      <c r="G42" s="50">
        <v>3217</v>
      </c>
      <c r="H42" s="50">
        <v>0</v>
      </c>
      <c r="I42" s="50">
        <v>747</v>
      </c>
      <c r="J42" s="50">
        <v>0</v>
      </c>
      <c r="K42" s="50">
        <f t="shared" si="4"/>
        <v>1557</v>
      </c>
      <c r="L42" s="50">
        <v>0</v>
      </c>
      <c r="M42" s="50">
        <v>1557</v>
      </c>
      <c r="N42" s="50">
        <f t="shared" si="5"/>
        <v>0</v>
      </c>
      <c r="O42" s="50">
        <v>0</v>
      </c>
      <c r="P42" s="50">
        <v>0</v>
      </c>
      <c r="Q42" s="50">
        <v>0</v>
      </c>
      <c r="R42" s="50">
        <v>0</v>
      </c>
      <c r="S42" s="50">
        <f t="shared" si="7"/>
        <v>28906</v>
      </c>
      <c r="T42" s="50">
        <v>0</v>
      </c>
      <c r="U42" s="50">
        <v>332</v>
      </c>
      <c r="V42" s="50">
        <f t="shared" si="6"/>
        <v>28574</v>
      </c>
      <c r="W42" s="50">
        <v>6589</v>
      </c>
      <c r="X42" s="50">
        <v>21985</v>
      </c>
      <c r="Y42" s="42"/>
      <c r="Z42" s="42"/>
      <c r="AA42" s="43"/>
      <c r="CM42" s="52"/>
    </row>
    <row r="43" spans="1:91" x14ac:dyDescent="0.25">
      <c r="A43" s="47">
        <v>32</v>
      </c>
      <c r="B43" s="48" t="s">
        <v>106</v>
      </c>
      <c r="C43" s="49" t="s">
        <v>107</v>
      </c>
      <c r="D43" s="50">
        <f t="shared" si="3"/>
        <v>99152</v>
      </c>
      <c r="E43" s="50">
        <v>6162</v>
      </c>
      <c r="F43" s="50">
        <v>2669</v>
      </c>
      <c r="G43" s="50">
        <v>8424</v>
      </c>
      <c r="H43" s="50">
        <v>0</v>
      </c>
      <c r="I43" s="50">
        <v>2120</v>
      </c>
      <c r="J43" s="50">
        <v>0</v>
      </c>
      <c r="K43" s="50">
        <f t="shared" si="4"/>
        <v>4281</v>
      </c>
      <c r="L43" s="50">
        <v>4</v>
      </c>
      <c r="M43" s="50">
        <v>4277</v>
      </c>
      <c r="N43" s="50">
        <f t="shared" si="5"/>
        <v>0</v>
      </c>
      <c r="O43" s="50">
        <v>0</v>
      </c>
      <c r="P43" s="50">
        <v>0</v>
      </c>
      <c r="Q43" s="50">
        <v>0</v>
      </c>
      <c r="R43" s="50">
        <v>0</v>
      </c>
      <c r="S43" s="50">
        <f t="shared" si="7"/>
        <v>75496</v>
      </c>
      <c r="T43" s="50">
        <v>0</v>
      </c>
      <c r="U43" s="50">
        <v>2008</v>
      </c>
      <c r="V43" s="50">
        <f t="shared" si="6"/>
        <v>73488</v>
      </c>
      <c r="W43" s="50">
        <v>17557</v>
      </c>
      <c r="X43" s="50">
        <v>55931</v>
      </c>
      <c r="Y43" s="42"/>
      <c r="Z43" s="42"/>
      <c r="AA43" s="43"/>
    </row>
    <row r="44" spans="1:91" x14ac:dyDescent="0.25">
      <c r="A44" s="47">
        <v>33</v>
      </c>
      <c r="B44" s="54" t="s">
        <v>108</v>
      </c>
      <c r="C44" s="55" t="s">
        <v>109</v>
      </c>
      <c r="D44" s="50">
        <f t="shared" si="3"/>
        <v>34206</v>
      </c>
      <c r="E44" s="50">
        <v>2080</v>
      </c>
      <c r="F44" s="50">
        <v>1649</v>
      </c>
      <c r="G44" s="50">
        <v>2881</v>
      </c>
      <c r="H44" s="50">
        <v>0</v>
      </c>
      <c r="I44" s="50">
        <v>650</v>
      </c>
      <c r="J44" s="50">
        <v>0</v>
      </c>
      <c r="K44" s="50">
        <f t="shared" si="4"/>
        <v>898</v>
      </c>
      <c r="L44" s="50">
        <v>0</v>
      </c>
      <c r="M44" s="50">
        <v>898</v>
      </c>
      <c r="N44" s="50">
        <f t="shared" si="5"/>
        <v>0</v>
      </c>
      <c r="O44" s="50">
        <v>0</v>
      </c>
      <c r="P44" s="50">
        <v>0</v>
      </c>
      <c r="Q44" s="50">
        <v>0</v>
      </c>
      <c r="R44" s="50">
        <v>0</v>
      </c>
      <c r="S44" s="50">
        <f t="shared" si="7"/>
        <v>26048</v>
      </c>
      <c r="T44" s="50">
        <v>0</v>
      </c>
      <c r="U44" s="50">
        <v>758</v>
      </c>
      <c r="V44" s="50">
        <f t="shared" si="6"/>
        <v>25290</v>
      </c>
      <c r="W44" s="50">
        <v>5384</v>
      </c>
      <c r="X44" s="50">
        <v>19906</v>
      </c>
      <c r="Y44" s="42"/>
      <c r="Z44" s="42"/>
      <c r="AA44" s="43"/>
    </row>
    <row r="45" spans="1:91" x14ac:dyDescent="0.25">
      <c r="A45" s="47">
        <v>34</v>
      </c>
      <c r="B45" s="48" t="s">
        <v>110</v>
      </c>
      <c r="C45" s="49" t="s">
        <v>111</v>
      </c>
      <c r="D45" s="50">
        <f t="shared" si="3"/>
        <v>21256</v>
      </c>
      <c r="E45" s="50">
        <v>1279</v>
      </c>
      <c r="F45" s="50">
        <v>1253</v>
      </c>
      <c r="G45" s="50">
        <v>1852</v>
      </c>
      <c r="H45" s="50">
        <v>6</v>
      </c>
      <c r="I45" s="50">
        <v>354</v>
      </c>
      <c r="J45" s="50">
        <v>0</v>
      </c>
      <c r="K45" s="50">
        <f t="shared" si="4"/>
        <v>1042</v>
      </c>
      <c r="L45" s="50">
        <v>0</v>
      </c>
      <c r="M45" s="50">
        <v>1042</v>
      </c>
      <c r="N45" s="50">
        <f t="shared" si="5"/>
        <v>0</v>
      </c>
      <c r="O45" s="50">
        <v>0</v>
      </c>
      <c r="P45" s="50">
        <v>0</v>
      </c>
      <c r="Q45" s="50">
        <v>0</v>
      </c>
      <c r="R45" s="50">
        <v>0</v>
      </c>
      <c r="S45" s="50">
        <f t="shared" si="7"/>
        <v>15470</v>
      </c>
      <c r="T45" s="50">
        <v>0</v>
      </c>
      <c r="U45" s="50">
        <v>152</v>
      </c>
      <c r="V45" s="50">
        <f t="shared" si="6"/>
        <v>15318</v>
      </c>
      <c r="W45" s="50">
        <v>3493</v>
      </c>
      <c r="X45" s="50">
        <v>11825</v>
      </c>
      <c r="Y45" s="42"/>
      <c r="Z45" s="42"/>
      <c r="AA45" s="43"/>
    </row>
    <row r="46" spans="1:91" x14ac:dyDescent="0.25">
      <c r="A46" s="47">
        <v>35</v>
      </c>
      <c r="B46" s="48" t="s">
        <v>112</v>
      </c>
      <c r="C46" s="49" t="s">
        <v>113</v>
      </c>
      <c r="D46" s="50">
        <f t="shared" si="3"/>
        <v>37815</v>
      </c>
      <c r="E46" s="50">
        <v>2275</v>
      </c>
      <c r="F46" s="50">
        <v>2233</v>
      </c>
      <c r="G46" s="50">
        <v>3287</v>
      </c>
      <c r="H46" s="50">
        <v>111</v>
      </c>
      <c r="I46" s="50">
        <v>664</v>
      </c>
      <c r="J46" s="50">
        <v>0</v>
      </c>
      <c r="K46" s="50">
        <f t="shared" si="4"/>
        <v>1765</v>
      </c>
      <c r="L46" s="50">
        <v>0</v>
      </c>
      <c r="M46" s="50">
        <v>1765</v>
      </c>
      <c r="N46" s="50">
        <f t="shared" si="5"/>
        <v>0</v>
      </c>
      <c r="O46" s="50">
        <v>0</v>
      </c>
      <c r="P46" s="50">
        <v>0</v>
      </c>
      <c r="Q46" s="50">
        <v>0</v>
      </c>
      <c r="R46" s="50">
        <v>0</v>
      </c>
      <c r="S46" s="50">
        <f t="shared" si="7"/>
        <v>27480</v>
      </c>
      <c r="T46" s="50">
        <v>0</v>
      </c>
      <c r="U46" s="50">
        <v>1139</v>
      </c>
      <c r="V46" s="50">
        <f t="shared" si="6"/>
        <v>26341</v>
      </c>
      <c r="W46" s="50">
        <v>6105</v>
      </c>
      <c r="X46" s="50">
        <v>20236</v>
      </c>
      <c r="Y46" s="42"/>
      <c r="Z46" s="42"/>
      <c r="AA46" s="43"/>
    </row>
    <row r="47" spans="1:91" x14ac:dyDescent="0.25">
      <c r="A47" s="47">
        <v>36</v>
      </c>
      <c r="B47" s="166" t="s">
        <v>114</v>
      </c>
      <c r="C47" s="49" t="s">
        <v>115</v>
      </c>
      <c r="D47" s="50">
        <f t="shared" si="3"/>
        <v>16829</v>
      </c>
      <c r="E47" s="50">
        <v>998</v>
      </c>
      <c r="F47" s="50">
        <v>1229</v>
      </c>
      <c r="G47" s="50">
        <v>1501</v>
      </c>
      <c r="H47" s="50">
        <v>0</v>
      </c>
      <c r="I47" s="50">
        <v>287</v>
      </c>
      <c r="J47" s="50">
        <v>0</v>
      </c>
      <c r="K47" s="50">
        <f t="shared" si="4"/>
        <v>538</v>
      </c>
      <c r="L47" s="50">
        <v>38</v>
      </c>
      <c r="M47" s="50">
        <v>500</v>
      </c>
      <c r="N47" s="50">
        <f t="shared" si="5"/>
        <v>0</v>
      </c>
      <c r="O47" s="50">
        <v>0</v>
      </c>
      <c r="P47" s="50">
        <v>0</v>
      </c>
      <c r="Q47" s="50">
        <v>0</v>
      </c>
      <c r="R47" s="50">
        <v>0</v>
      </c>
      <c r="S47" s="50">
        <f t="shared" si="7"/>
        <v>12276</v>
      </c>
      <c r="T47" s="50">
        <v>0</v>
      </c>
      <c r="U47" s="50">
        <v>952</v>
      </c>
      <c r="V47" s="50">
        <f t="shared" si="6"/>
        <v>11324</v>
      </c>
      <c r="W47" s="50">
        <v>2886</v>
      </c>
      <c r="X47" s="50">
        <v>8438</v>
      </c>
      <c r="Y47" s="42"/>
      <c r="Z47" s="42"/>
      <c r="AA47" s="43"/>
    </row>
    <row r="48" spans="1:91" x14ac:dyDescent="0.25">
      <c r="A48" s="47">
        <v>37</v>
      </c>
      <c r="B48" s="51" t="s">
        <v>116</v>
      </c>
      <c r="C48" s="49" t="s">
        <v>117</v>
      </c>
      <c r="D48" s="50">
        <f t="shared" si="3"/>
        <v>11845</v>
      </c>
      <c r="E48" s="50">
        <v>1220</v>
      </c>
      <c r="F48" s="50">
        <v>20</v>
      </c>
      <c r="G48" s="50">
        <v>2164</v>
      </c>
      <c r="H48" s="50">
        <v>0</v>
      </c>
      <c r="I48" s="50">
        <v>425</v>
      </c>
      <c r="J48" s="50">
        <v>0</v>
      </c>
      <c r="K48" s="50">
        <f t="shared" si="4"/>
        <v>0</v>
      </c>
      <c r="L48" s="50">
        <v>0</v>
      </c>
      <c r="M48" s="50">
        <v>0</v>
      </c>
      <c r="N48" s="50">
        <f t="shared" si="5"/>
        <v>0</v>
      </c>
      <c r="O48" s="50">
        <v>0</v>
      </c>
      <c r="P48" s="50">
        <v>0</v>
      </c>
      <c r="Q48" s="50">
        <v>0</v>
      </c>
      <c r="R48" s="50">
        <v>0</v>
      </c>
      <c r="S48" s="50">
        <f t="shared" si="7"/>
        <v>8016</v>
      </c>
      <c r="T48" s="50">
        <v>0</v>
      </c>
      <c r="U48" s="50">
        <v>60</v>
      </c>
      <c r="V48" s="50">
        <f t="shared" si="6"/>
        <v>7956</v>
      </c>
      <c r="W48" s="50">
        <v>151</v>
      </c>
      <c r="X48" s="50">
        <v>7805</v>
      </c>
      <c r="Y48" s="42"/>
      <c r="Z48" s="42"/>
      <c r="AA48" s="43"/>
    </row>
    <row r="49" spans="1:27" x14ac:dyDescent="0.25">
      <c r="A49" s="47">
        <v>38</v>
      </c>
      <c r="B49" s="166" t="s">
        <v>28</v>
      </c>
      <c r="C49" s="49" t="s">
        <v>29</v>
      </c>
      <c r="D49" s="50">
        <f t="shared" si="3"/>
        <v>140085</v>
      </c>
      <c r="E49" s="50">
        <v>8415</v>
      </c>
      <c r="F49" s="50">
        <v>1098</v>
      </c>
      <c r="G49" s="50">
        <v>11247</v>
      </c>
      <c r="H49" s="50">
        <v>21</v>
      </c>
      <c r="I49" s="50">
        <v>2992</v>
      </c>
      <c r="J49" s="50">
        <v>7167</v>
      </c>
      <c r="K49" s="50">
        <f t="shared" si="4"/>
        <v>3839</v>
      </c>
      <c r="L49" s="50">
        <v>24</v>
      </c>
      <c r="M49" s="50">
        <v>3815</v>
      </c>
      <c r="N49" s="50">
        <f t="shared" si="5"/>
        <v>0</v>
      </c>
      <c r="O49" s="50">
        <v>0</v>
      </c>
      <c r="P49" s="50">
        <v>0</v>
      </c>
      <c r="Q49" s="50">
        <v>0</v>
      </c>
      <c r="R49" s="50">
        <v>0</v>
      </c>
      <c r="S49" s="50">
        <f t="shared" si="7"/>
        <v>105306</v>
      </c>
      <c r="T49" s="50">
        <v>7000</v>
      </c>
      <c r="U49" s="50">
        <v>1770</v>
      </c>
      <c r="V49" s="50">
        <f t="shared" si="6"/>
        <v>96536</v>
      </c>
      <c r="W49" s="50">
        <v>21065</v>
      </c>
      <c r="X49" s="50">
        <v>75471</v>
      </c>
      <c r="Y49" s="42"/>
      <c r="Z49" s="42"/>
      <c r="AA49" s="43"/>
    </row>
    <row r="50" spans="1:27" x14ac:dyDescent="0.25">
      <c r="A50" s="47">
        <v>39</v>
      </c>
      <c r="B50" s="48" t="s">
        <v>118</v>
      </c>
      <c r="C50" s="49" t="s">
        <v>119</v>
      </c>
      <c r="D50" s="50">
        <f t="shared" si="3"/>
        <v>30812</v>
      </c>
      <c r="E50" s="50">
        <v>1843</v>
      </c>
      <c r="F50" s="50">
        <v>1974</v>
      </c>
      <c r="G50" s="50">
        <v>2608</v>
      </c>
      <c r="H50" s="50">
        <v>0</v>
      </c>
      <c r="I50" s="50">
        <v>529</v>
      </c>
      <c r="J50" s="50">
        <v>0</v>
      </c>
      <c r="K50" s="50">
        <f t="shared" si="4"/>
        <v>1133</v>
      </c>
      <c r="L50" s="50">
        <v>2</v>
      </c>
      <c r="M50" s="50">
        <v>1131</v>
      </c>
      <c r="N50" s="50">
        <f t="shared" si="5"/>
        <v>0</v>
      </c>
      <c r="O50" s="50">
        <v>0</v>
      </c>
      <c r="P50" s="50">
        <v>0</v>
      </c>
      <c r="Q50" s="50">
        <v>0</v>
      </c>
      <c r="R50" s="50">
        <v>0</v>
      </c>
      <c r="S50" s="50">
        <f t="shared" si="7"/>
        <v>22725</v>
      </c>
      <c r="T50" s="50">
        <v>0</v>
      </c>
      <c r="U50" s="50">
        <v>1656</v>
      </c>
      <c r="V50" s="50">
        <f t="shared" si="6"/>
        <v>21069</v>
      </c>
      <c r="W50" s="50">
        <v>5099</v>
      </c>
      <c r="X50" s="50">
        <v>15970</v>
      </c>
      <c r="Y50" s="42"/>
      <c r="Z50" s="42"/>
      <c r="AA50" s="43"/>
    </row>
    <row r="51" spans="1:27" ht="18" customHeight="1" x14ac:dyDescent="0.25">
      <c r="A51" s="47">
        <v>40</v>
      </c>
      <c r="B51" s="48" t="s">
        <v>120</v>
      </c>
      <c r="C51" s="49" t="s">
        <v>121</v>
      </c>
      <c r="D51" s="50">
        <f t="shared" si="3"/>
        <v>104784</v>
      </c>
      <c r="E51" s="50">
        <v>6571</v>
      </c>
      <c r="F51" s="50">
        <v>1914</v>
      </c>
      <c r="G51" s="50">
        <v>9128</v>
      </c>
      <c r="H51" s="50">
        <v>3</v>
      </c>
      <c r="I51" s="50">
        <v>2194</v>
      </c>
      <c r="J51" s="50">
        <v>0</v>
      </c>
      <c r="K51" s="50">
        <f t="shared" si="4"/>
        <v>758</v>
      </c>
      <c r="L51" s="50">
        <v>2</v>
      </c>
      <c r="M51" s="50">
        <v>756</v>
      </c>
      <c r="N51" s="50">
        <f t="shared" si="5"/>
        <v>0</v>
      </c>
      <c r="O51" s="50">
        <v>0</v>
      </c>
      <c r="P51" s="50">
        <v>0</v>
      </c>
      <c r="Q51" s="50">
        <v>0</v>
      </c>
      <c r="R51" s="50">
        <v>0</v>
      </c>
      <c r="S51" s="50">
        <f t="shared" si="7"/>
        <v>84216</v>
      </c>
      <c r="T51" s="50">
        <v>0</v>
      </c>
      <c r="U51" s="50">
        <v>3086</v>
      </c>
      <c r="V51" s="50">
        <f t="shared" si="6"/>
        <v>81130</v>
      </c>
      <c r="W51" s="50">
        <v>18021</v>
      </c>
      <c r="X51" s="50">
        <v>63109</v>
      </c>
      <c r="Y51" s="42"/>
      <c r="Z51" s="42"/>
      <c r="AA51" s="43"/>
    </row>
    <row r="52" spans="1:27" x14ac:dyDescent="0.25">
      <c r="A52" s="47">
        <v>41</v>
      </c>
      <c r="B52" s="166" t="s">
        <v>122</v>
      </c>
      <c r="C52" s="49" t="s">
        <v>123</v>
      </c>
      <c r="D52" s="50">
        <f t="shared" si="3"/>
        <v>23216</v>
      </c>
      <c r="E52" s="50">
        <v>1399</v>
      </c>
      <c r="F52" s="50">
        <v>1324</v>
      </c>
      <c r="G52" s="50">
        <v>1996</v>
      </c>
      <c r="H52" s="50">
        <v>0</v>
      </c>
      <c r="I52" s="50">
        <v>379</v>
      </c>
      <c r="J52" s="50">
        <v>0</v>
      </c>
      <c r="K52" s="50">
        <f t="shared" si="4"/>
        <v>564</v>
      </c>
      <c r="L52" s="50">
        <v>5</v>
      </c>
      <c r="M52" s="50">
        <v>559</v>
      </c>
      <c r="N52" s="50">
        <f t="shared" si="5"/>
        <v>0</v>
      </c>
      <c r="O52" s="50">
        <v>0</v>
      </c>
      <c r="P52" s="50">
        <v>0</v>
      </c>
      <c r="Q52" s="50">
        <v>0</v>
      </c>
      <c r="R52" s="50">
        <v>0</v>
      </c>
      <c r="S52" s="50">
        <f t="shared" si="7"/>
        <v>17554</v>
      </c>
      <c r="T52" s="50">
        <v>0</v>
      </c>
      <c r="U52" s="50">
        <v>558</v>
      </c>
      <c r="V52" s="50">
        <f t="shared" si="6"/>
        <v>16996</v>
      </c>
      <c r="W52" s="50">
        <v>3838</v>
      </c>
      <c r="X52" s="50">
        <v>13158</v>
      </c>
      <c r="Y52" s="42"/>
      <c r="Z52" s="42"/>
      <c r="AA52" s="43"/>
    </row>
    <row r="53" spans="1:27" x14ac:dyDescent="0.25">
      <c r="A53" s="47">
        <v>42</v>
      </c>
      <c r="B53" s="51" t="s">
        <v>124</v>
      </c>
      <c r="C53" s="49" t="s">
        <v>125</v>
      </c>
      <c r="D53" s="50">
        <f t="shared" si="3"/>
        <v>31279</v>
      </c>
      <c r="E53" s="50">
        <v>1886</v>
      </c>
      <c r="F53" s="50">
        <v>1783</v>
      </c>
      <c r="G53" s="50">
        <v>2726</v>
      </c>
      <c r="H53" s="50">
        <v>12</v>
      </c>
      <c r="I53" s="50">
        <v>560</v>
      </c>
      <c r="J53" s="50">
        <v>0</v>
      </c>
      <c r="K53" s="50">
        <f t="shared" si="4"/>
        <v>1568</v>
      </c>
      <c r="L53" s="50">
        <v>17</v>
      </c>
      <c r="M53" s="50">
        <v>1551</v>
      </c>
      <c r="N53" s="50">
        <f t="shared" si="5"/>
        <v>0</v>
      </c>
      <c r="O53" s="50">
        <v>0</v>
      </c>
      <c r="P53" s="50">
        <v>0</v>
      </c>
      <c r="Q53" s="50">
        <v>0</v>
      </c>
      <c r="R53" s="50">
        <v>0</v>
      </c>
      <c r="S53" s="50">
        <f t="shared" si="7"/>
        <v>22744</v>
      </c>
      <c r="T53" s="50">
        <v>0</v>
      </c>
      <c r="U53" s="50">
        <v>2102</v>
      </c>
      <c r="V53" s="50">
        <f t="shared" si="6"/>
        <v>20642</v>
      </c>
      <c r="W53" s="50">
        <v>5238</v>
      </c>
      <c r="X53" s="50">
        <v>15404</v>
      </c>
      <c r="Y53" s="42"/>
      <c r="Z53" s="42"/>
      <c r="AA53" s="43"/>
    </row>
    <row r="54" spans="1:27" x14ac:dyDescent="0.25">
      <c r="A54" s="47">
        <v>43</v>
      </c>
      <c r="B54" s="166" t="s">
        <v>126</v>
      </c>
      <c r="C54" s="49" t="s">
        <v>127</v>
      </c>
      <c r="D54" s="50">
        <f t="shared" si="3"/>
        <v>37385</v>
      </c>
      <c r="E54" s="50">
        <v>2262</v>
      </c>
      <c r="F54" s="50">
        <v>2115</v>
      </c>
      <c r="G54" s="50">
        <v>3195</v>
      </c>
      <c r="H54" s="50">
        <v>3</v>
      </c>
      <c r="I54" s="50">
        <v>674</v>
      </c>
      <c r="J54" s="50">
        <v>0</v>
      </c>
      <c r="K54" s="50">
        <f t="shared" si="4"/>
        <v>1160</v>
      </c>
      <c r="L54" s="50">
        <v>0</v>
      </c>
      <c r="M54" s="50">
        <v>1160</v>
      </c>
      <c r="N54" s="50">
        <f t="shared" si="5"/>
        <v>0</v>
      </c>
      <c r="O54" s="50">
        <v>0</v>
      </c>
      <c r="P54" s="50">
        <v>0</v>
      </c>
      <c r="Q54" s="50">
        <v>0</v>
      </c>
      <c r="R54" s="50">
        <v>0</v>
      </c>
      <c r="S54" s="50">
        <f t="shared" si="7"/>
        <v>27976</v>
      </c>
      <c r="T54" s="50">
        <v>0</v>
      </c>
      <c r="U54" s="50">
        <v>408</v>
      </c>
      <c r="V54" s="50">
        <f t="shared" si="6"/>
        <v>27568</v>
      </c>
      <c r="W54" s="50">
        <v>6107</v>
      </c>
      <c r="X54" s="50">
        <v>21461</v>
      </c>
      <c r="Y54" s="42"/>
      <c r="Z54" s="42"/>
      <c r="AA54" s="43"/>
    </row>
    <row r="55" spans="1:27" ht="10.5" customHeight="1" x14ac:dyDescent="0.25">
      <c r="A55" s="47">
        <v>44</v>
      </c>
      <c r="B55" s="51" t="s">
        <v>128</v>
      </c>
      <c r="C55" s="49" t="s">
        <v>129</v>
      </c>
      <c r="D55" s="50">
        <f t="shared" si="3"/>
        <v>44606</v>
      </c>
      <c r="E55" s="50">
        <v>2712</v>
      </c>
      <c r="F55" s="50">
        <v>2156</v>
      </c>
      <c r="G55" s="50">
        <v>3775</v>
      </c>
      <c r="H55" s="50">
        <v>0</v>
      </c>
      <c r="I55" s="50">
        <v>870</v>
      </c>
      <c r="J55" s="50">
        <v>0</v>
      </c>
      <c r="K55" s="50">
        <f t="shared" si="4"/>
        <v>1757</v>
      </c>
      <c r="L55" s="50">
        <v>20</v>
      </c>
      <c r="M55" s="50">
        <v>1737</v>
      </c>
      <c r="N55" s="50">
        <f t="shared" si="5"/>
        <v>0</v>
      </c>
      <c r="O55" s="50">
        <v>0</v>
      </c>
      <c r="P55" s="50">
        <v>0</v>
      </c>
      <c r="Q55" s="50">
        <v>0</v>
      </c>
      <c r="R55" s="50">
        <v>0</v>
      </c>
      <c r="S55" s="50">
        <f t="shared" si="7"/>
        <v>33336</v>
      </c>
      <c r="T55" s="50">
        <v>0</v>
      </c>
      <c r="U55" s="50">
        <v>2597</v>
      </c>
      <c r="V55" s="50">
        <f t="shared" si="6"/>
        <v>30739</v>
      </c>
      <c r="W55" s="50">
        <v>7504</v>
      </c>
      <c r="X55" s="50">
        <v>23235</v>
      </c>
      <c r="Y55" s="42"/>
      <c r="Z55" s="42"/>
      <c r="AA55" s="43"/>
    </row>
    <row r="56" spans="1:27" x14ac:dyDescent="0.25">
      <c r="A56" s="47">
        <v>45</v>
      </c>
      <c r="B56" s="166" t="s">
        <v>130</v>
      </c>
      <c r="C56" s="49" t="s">
        <v>131</v>
      </c>
      <c r="D56" s="50">
        <f t="shared" si="3"/>
        <v>15091</v>
      </c>
      <c r="E56" s="50">
        <v>903</v>
      </c>
      <c r="F56" s="50">
        <v>1106</v>
      </c>
      <c r="G56" s="50">
        <v>1344</v>
      </c>
      <c r="H56" s="50">
        <v>0</v>
      </c>
      <c r="I56" s="50">
        <v>263</v>
      </c>
      <c r="J56" s="50">
        <v>0</v>
      </c>
      <c r="K56" s="50">
        <f t="shared" si="4"/>
        <v>250</v>
      </c>
      <c r="L56" s="50">
        <v>1</v>
      </c>
      <c r="M56" s="50">
        <v>249</v>
      </c>
      <c r="N56" s="50">
        <f t="shared" si="5"/>
        <v>0</v>
      </c>
      <c r="O56" s="50">
        <v>0</v>
      </c>
      <c r="P56" s="50">
        <v>0</v>
      </c>
      <c r="Q56" s="50">
        <v>0</v>
      </c>
      <c r="R56" s="50">
        <v>0</v>
      </c>
      <c r="S56" s="50">
        <f t="shared" si="7"/>
        <v>11225</v>
      </c>
      <c r="T56" s="50">
        <v>0</v>
      </c>
      <c r="U56" s="50">
        <v>933</v>
      </c>
      <c r="V56" s="50">
        <f t="shared" si="6"/>
        <v>10292</v>
      </c>
      <c r="W56" s="50">
        <v>2570</v>
      </c>
      <c r="X56" s="50">
        <v>7722</v>
      </c>
      <c r="Y56" s="42"/>
      <c r="Z56" s="42"/>
      <c r="AA56" s="43"/>
    </row>
    <row r="57" spans="1:27" x14ac:dyDescent="0.25">
      <c r="A57" s="47">
        <v>46</v>
      </c>
      <c r="B57" s="51" t="s">
        <v>132</v>
      </c>
      <c r="C57" s="49" t="s">
        <v>133</v>
      </c>
      <c r="D57" s="50">
        <f t="shared" si="3"/>
        <v>29169</v>
      </c>
      <c r="E57" s="50">
        <v>1747</v>
      </c>
      <c r="F57" s="50">
        <v>1836</v>
      </c>
      <c r="G57" s="50">
        <v>2458</v>
      </c>
      <c r="H57" s="50">
        <v>27</v>
      </c>
      <c r="I57" s="50">
        <v>465</v>
      </c>
      <c r="J57" s="50">
        <v>0</v>
      </c>
      <c r="K57" s="50">
        <f t="shared" si="4"/>
        <v>1227</v>
      </c>
      <c r="L57" s="50">
        <v>0</v>
      </c>
      <c r="M57" s="50">
        <v>1227</v>
      </c>
      <c r="N57" s="50">
        <f t="shared" si="5"/>
        <v>0</v>
      </c>
      <c r="O57" s="50">
        <v>0</v>
      </c>
      <c r="P57" s="50">
        <v>0</v>
      </c>
      <c r="Q57" s="50">
        <v>0</v>
      </c>
      <c r="R57" s="50">
        <v>0</v>
      </c>
      <c r="S57" s="50">
        <f t="shared" si="7"/>
        <v>21409</v>
      </c>
      <c r="T57" s="50">
        <v>0</v>
      </c>
      <c r="U57" s="50">
        <v>630</v>
      </c>
      <c r="V57" s="50">
        <f t="shared" si="6"/>
        <v>20779</v>
      </c>
      <c r="W57" s="50">
        <v>4859</v>
      </c>
      <c r="X57" s="50">
        <v>15920</v>
      </c>
      <c r="Y57" s="42"/>
      <c r="Z57" s="42"/>
      <c r="AA57" s="43"/>
    </row>
    <row r="58" spans="1:27" x14ac:dyDescent="0.25">
      <c r="A58" s="47">
        <v>47</v>
      </c>
      <c r="B58" s="166" t="s">
        <v>134</v>
      </c>
      <c r="C58" s="49" t="s">
        <v>135</v>
      </c>
      <c r="D58" s="50">
        <f t="shared" si="3"/>
        <v>44851</v>
      </c>
      <c r="E58" s="50">
        <v>2736</v>
      </c>
      <c r="F58" s="50">
        <v>2041</v>
      </c>
      <c r="G58" s="50">
        <v>3885</v>
      </c>
      <c r="H58" s="50">
        <v>3</v>
      </c>
      <c r="I58" s="50">
        <v>838</v>
      </c>
      <c r="J58" s="50">
        <v>0</v>
      </c>
      <c r="K58" s="50">
        <f t="shared" si="4"/>
        <v>1375</v>
      </c>
      <c r="L58" s="50">
        <v>5</v>
      </c>
      <c r="M58" s="50">
        <v>1370</v>
      </c>
      <c r="N58" s="50">
        <f t="shared" si="5"/>
        <v>0</v>
      </c>
      <c r="O58" s="50">
        <v>0</v>
      </c>
      <c r="P58" s="50">
        <v>0</v>
      </c>
      <c r="Q58" s="50">
        <v>0</v>
      </c>
      <c r="R58" s="50">
        <v>0</v>
      </c>
      <c r="S58" s="50">
        <f t="shared" si="7"/>
        <v>33973</v>
      </c>
      <c r="T58" s="50">
        <v>0</v>
      </c>
      <c r="U58" s="50">
        <v>310</v>
      </c>
      <c r="V58" s="50">
        <f t="shared" si="6"/>
        <v>33663</v>
      </c>
      <c r="W58" s="50">
        <v>7554</v>
      </c>
      <c r="X58" s="50">
        <v>26109</v>
      </c>
      <c r="Y58" s="42"/>
      <c r="Z58" s="42"/>
      <c r="AA58" s="43"/>
    </row>
    <row r="59" spans="1:27" x14ac:dyDescent="0.25">
      <c r="A59" s="47">
        <v>48</v>
      </c>
      <c r="B59" s="166" t="s">
        <v>136</v>
      </c>
      <c r="C59" s="49" t="s">
        <v>137</v>
      </c>
      <c r="D59" s="50">
        <f t="shared" si="3"/>
        <v>155970</v>
      </c>
      <c r="E59" s="50">
        <v>9785</v>
      </c>
      <c r="F59" s="50">
        <v>2731</v>
      </c>
      <c r="G59" s="50">
        <v>13284</v>
      </c>
      <c r="H59" s="50">
        <v>24</v>
      </c>
      <c r="I59" s="50">
        <v>3384</v>
      </c>
      <c r="J59" s="50">
        <v>0</v>
      </c>
      <c r="K59" s="50">
        <f t="shared" si="4"/>
        <v>4364</v>
      </c>
      <c r="L59" s="50">
        <v>0</v>
      </c>
      <c r="M59" s="50">
        <v>4364</v>
      </c>
      <c r="N59" s="50">
        <f t="shared" si="5"/>
        <v>0</v>
      </c>
      <c r="O59" s="50">
        <v>0</v>
      </c>
      <c r="P59" s="50">
        <v>0</v>
      </c>
      <c r="Q59" s="50">
        <v>0</v>
      </c>
      <c r="R59" s="50">
        <v>0</v>
      </c>
      <c r="S59" s="50">
        <f t="shared" si="7"/>
        <v>122398</v>
      </c>
      <c r="T59" s="50">
        <v>5100</v>
      </c>
      <c r="U59" s="50">
        <v>4100</v>
      </c>
      <c r="V59" s="50">
        <f t="shared" si="6"/>
        <v>113198</v>
      </c>
      <c r="W59" s="50">
        <v>27664</v>
      </c>
      <c r="X59" s="50">
        <v>85534</v>
      </c>
      <c r="Y59" s="42"/>
      <c r="Z59" s="42"/>
      <c r="AA59" s="43"/>
    </row>
    <row r="60" spans="1:27" x14ac:dyDescent="0.25">
      <c r="A60" s="47">
        <v>49</v>
      </c>
      <c r="B60" s="166" t="s">
        <v>138</v>
      </c>
      <c r="C60" s="49" t="s">
        <v>139</v>
      </c>
      <c r="D60" s="50">
        <f t="shared" si="3"/>
        <v>32573</v>
      </c>
      <c r="E60" s="50">
        <v>1965</v>
      </c>
      <c r="F60" s="50">
        <v>1822</v>
      </c>
      <c r="G60" s="50">
        <v>2761</v>
      </c>
      <c r="H60" s="50">
        <v>0</v>
      </c>
      <c r="I60" s="50">
        <v>560</v>
      </c>
      <c r="J60" s="50">
        <v>0</v>
      </c>
      <c r="K60" s="50">
        <f t="shared" si="4"/>
        <v>1364</v>
      </c>
      <c r="L60" s="50">
        <v>0</v>
      </c>
      <c r="M60" s="50">
        <v>1364</v>
      </c>
      <c r="N60" s="50">
        <f t="shared" si="5"/>
        <v>0</v>
      </c>
      <c r="O60" s="50">
        <v>0</v>
      </c>
      <c r="P60" s="50">
        <v>0</v>
      </c>
      <c r="Q60" s="50">
        <v>0</v>
      </c>
      <c r="R60" s="50">
        <v>0</v>
      </c>
      <c r="S60" s="50">
        <f t="shared" si="7"/>
        <v>24101</v>
      </c>
      <c r="T60" s="50">
        <v>0</v>
      </c>
      <c r="U60" s="50">
        <v>1220</v>
      </c>
      <c r="V60" s="50">
        <f t="shared" si="6"/>
        <v>22881</v>
      </c>
      <c r="W60" s="50">
        <v>5512</v>
      </c>
      <c r="X60" s="50">
        <v>17369</v>
      </c>
      <c r="Y60" s="42"/>
      <c r="Z60" s="42"/>
      <c r="AA60" s="43"/>
    </row>
    <row r="61" spans="1:27" x14ac:dyDescent="0.25">
      <c r="A61" s="47">
        <v>50</v>
      </c>
      <c r="B61" s="166" t="s">
        <v>140</v>
      </c>
      <c r="C61" s="49" t="s">
        <v>141</v>
      </c>
      <c r="D61" s="50">
        <f t="shared" si="3"/>
        <v>23996</v>
      </c>
      <c r="E61" s="50">
        <v>1433</v>
      </c>
      <c r="F61" s="50">
        <v>1584</v>
      </c>
      <c r="G61" s="50">
        <v>2051</v>
      </c>
      <c r="H61" s="50">
        <v>0</v>
      </c>
      <c r="I61" s="50">
        <v>444</v>
      </c>
      <c r="J61" s="50">
        <v>0</v>
      </c>
      <c r="K61" s="50">
        <f t="shared" si="4"/>
        <v>339</v>
      </c>
      <c r="L61" s="50">
        <v>0</v>
      </c>
      <c r="M61" s="50">
        <v>339</v>
      </c>
      <c r="N61" s="50">
        <f t="shared" si="5"/>
        <v>0</v>
      </c>
      <c r="O61" s="50">
        <v>0</v>
      </c>
      <c r="P61" s="50">
        <v>0</v>
      </c>
      <c r="Q61" s="50">
        <v>0</v>
      </c>
      <c r="R61" s="50">
        <v>0</v>
      </c>
      <c r="S61" s="50">
        <f t="shared" si="7"/>
        <v>18145</v>
      </c>
      <c r="T61" s="50">
        <v>0</v>
      </c>
      <c r="U61" s="50">
        <v>627</v>
      </c>
      <c r="V61" s="50">
        <f t="shared" si="6"/>
        <v>17518</v>
      </c>
      <c r="W61" s="50">
        <v>4007</v>
      </c>
      <c r="X61" s="50">
        <v>13511</v>
      </c>
      <c r="Y61" s="42"/>
      <c r="Z61" s="42"/>
      <c r="AA61" s="43"/>
    </row>
    <row r="62" spans="1:27" x14ac:dyDescent="0.25">
      <c r="A62" s="47">
        <v>51</v>
      </c>
      <c r="B62" s="51" t="s">
        <v>142</v>
      </c>
      <c r="C62" s="49" t="s">
        <v>143</v>
      </c>
      <c r="D62" s="50">
        <f t="shared" si="3"/>
        <v>25170</v>
      </c>
      <c r="E62" s="50">
        <v>1579</v>
      </c>
      <c r="F62" s="50">
        <v>463</v>
      </c>
      <c r="G62" s="50">
        <v>2213</v>
      </c>
      <c r="H62" s="50">
        <v>3</v>
      </c>
      <c r="I62" s="50">
        <v>517</v>
      </c>
      <c r="J62" s="50">
        <v>0</v>
      </c>
      <c r="K62" s="50">
        <f t="shared" si="4"/>
        <v>1076</v>
      </c>
      <c r="L62" s="50">
        <v>6</v>
      </c>
      <c r="M62" s="50">
        <v>1070</v>
      </c>
      <c r="N62" s="50">
        <f t="shared" si="5"/>
        <v>0</v>
      </c>
      <c r="O62" s="50">
        <v>0</v>
      </c>
      <c r="P62" s="50">
        <v>0</v>
      </c>
      <c r="Q62" s="50">
        <v>0</v>
      </c>
      <c r="R62" s="50">
        <v>0</v>
      </c>
      <c r="S62" s="50">
        <f t="shared" si="7"/>
        <v>19319</v>
      </c>
      <c r="T62" s="50">
        <v>0</v>
      </c>
      <c r="U62" s="50">
        <v>1128</v>
      </c>
      <c r="V62" s="50">
        <f t="shared" si="6"/>
        <v>18191</v>
      </c>
      <c r="W62" s="50">
        <v>4385</v>
      </c>
      <c r="X62" s="50">
        <v>13806</v>
      </c>
      <c r="Y62" s="42"/>
      <c r="Z62" s="42"/>
      <c r="AA62" s="43"/>
    </row>
    <row r="63" spans="1:27" x14ac:dyDescent="0.25">
      <c r="A63" s="47">
        <v>52</v>
      </c>
      <c r="B63" s="166" t="s">
        <v>144</v>
      </c>
      <c r="C63" s="49" t="s">
        <v>145</v>
      </c>
      <c r="D63" s="50">
        <f t="shared" si="3"/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f t="shared" si="4"/>
        <v>0</v>
      </c>
      <c r="L63" s="50">
        <v>0</v>
      </c>
      <c r="M63" s="50">
        <v>0</v>
      </c>
      <c r="N63" s="50">
        <f t="shared" si="5"/>
        <v>0</v>
      </c>
      <c r="O63" s="50">
        <v>0</v>
      </c>
      <c r="P63" s="50">
        <v>0</v>
      </c>
      <c r="Q63" s="50">
        <v>0</v>
      </c>
      <c r="R63" s="50">
        <v>0</v>
      </c>
      <c r="S63" s="50">
        <f t="shared" si="7"/>
        <v>0</v>
      </c>
      <c r="T63" s="50">
        <v>0</v>
      </c>
      <c r="U63" s="50">
        <v>0</v>
      </c>
      <c r="V63" s="50">
        <f t="shared" si="6"/>
        <v>0</v>
      </c>
      <c r="W63" s="50">
        <v>0</v>
      </c>
      <c r="X63" s="50">
        <v>0</v>
      </c>
      <c r="Y63" s="42"/>
      <c r="Z63" s="42"/>
      <c r="AA63" s="43"/>
    </row>
    <row r="64" spans="1:27" x14ac:dyDescent="0.25">
      <c r="A64" s="47">
        <v>53</v>
      </c>
      <c r="B64" s="166" t="s">
        <v>146</v>
      </c>
      <c r="C64" s="49" t="s">
        <v>147</v>
      </c>
      <c r="D64" s="50">
        <f t="shared" si="3"/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f t="shared" si="4"/>
        <v>0</v>
      </c>
      <c r="L64" s="50">
        <v>0</v>
      </c>
      <c r="M64" s="50">
        <v>0</v>
      </c>
      <c r="N64" s="50">
        <f t="shared" si="5"/>
        <v>0</v>
      </c>
      <c r="O64" s="50">
        <v>0</v>
      </c>
      <c r="P64" s="50">
        <v>0</v>
      </c>
      <c r="Q64" s="50">
        <v>0</v>
      </c>
      <c r="R64" s="50">
        <v>0</v>
      </c>
      <c r="S64" s="50">
        <f t="shared" si="7"/>
        <v>0</v>
      </c>
      <c r="T64" s="50">
        <v>0</v>
      </c>
      <c r="U64" s="50">
        <v>0</v>
      </c>
      <c r="V64" s="50">
        <f t="shared" si="6"/>
        <v>0</v>
      </c>
      <c r="W64" s="50">
        <v>0</v>
      </c>
      <c r="X64" s="50">
        <v>0</v>
      </c>
      <c r="Y64" s="42"/>
      <c r="Z64" s="42"/>
      <c r="AA64" s="43"/>
    </row>
    <row r="65" spans="1:28" ht="23.25" customHeight="1" x14ac:dyDescent="0.25">
      <c r="A65" s="47">
        <v>54</v>
      </c>
      <c r="B65" s="166" t="s">
        <v>148</v>
      </c>
      <c r="C65" s="49" t="s">
        <v>149</v>
      </c>
      <c r="D65" s="50">
        <f t="shared" si="3"/>
        <v>46096</v>
      </c>
      <c r="E65" s="50">
        <v>3305</v>
      </c>
      <c r="F65" s="50">
        <v>939</v>
      </c>
      <c r="G65" s="50">
        <v>0</v>
      </c>
      <c r="H65" s="50">
        <v>0</v>
      </c>
      <c r="I65" s="50">
        <v>0</v>
      </c>
      <c r="J65" s="50">
        <v>0</v>
      </c>
      <c r="K65" s="50">
        <f t="shared" si="4"/>
        <v>7791</v>
      </c>
      <c r="L65" s="50">
        <v>200</v>
      </c>
      <c r="M65" s="50">
        <v>7591</v>
      </c>
      <c r="N65" s="50">
        <f t="shared" si="5"/>
        <v>0</v>
      </c>
      <c r="O65" s="50">
        <v>0</v>
      </c>
      <c r="P65" s="50">
        <v>0</v>
      </c>
      <c r="Q65" s="50">
        <v>0</v>
      </c>
      <c r="R65" s="50">
        <v>0</v>
      </c>
      <c r="S65" s="50">
        <f t="shared" si="7"/>
        <v>34061</v>
      </c>
      <c r="T65" s="50">
        <v>0</v>
      </c>
      <c r="U65" s="50">
        <v>536</v>
      </c>
      <c r="V65" s="50">
        <f t="shared" si="6"/>
        <v>33525</v>
      </c>
      <c r="W65" s="50">
        <v>0</v>
      </c>
      <c r="X65" s="50">
        <v>33525</v>
      </c>
      <c r="Y65" s="42"/>
      <c r="Z65" s="42"/>
      <c r="AA65" s="43"/>
    </row>
    <row r="66" spans="1:28" ht="23.25" customHeight="1" x14ac:dyDescent="0.25">
      <c r="A66" s="47">
        <v>55</v>
      </c>
      <c r="B66" s="51" t="s">
        <v>150</v>
      </c>
      <c r="C66" s="49" t="s">
        <v>151</v>
      </c>
      <c r="D66" s="50">
        <f t="shared" si="3"/>
        <v>35482</v>
      </c>
      <c r="E66" s="50">
        <v>2540</v>
      </c>
      <c r="F66" s="50">
        <v>782</v>
      </c>
      <c r="G66" s="50">
        <v>0</v>
      </c>
      <c r="H66" s="50">
        <v>0</v>
      </c>
      <c r="I66" s="50">
        <v>0</v>
      </c>
      <c r="J66" s="50">
        <v>0</v>
      </c>
      <c r="K66" s="50">
        <f t="shared" si="4"/>
        <v>7103</v>
      </c>
      <c r="L66" s="50">
        <v>240</v>
      </c>
      <c r="M66" s="50">
        <v>6863</v>
      </c>
      <c r="N66" s="50">
        <f t="shared" si="5"/>
        <v>0</v>
      </c>
      <c r="O66" s="50">
        <v>0</v>
      </c>
      <c r="P66" s="50">
        <v>0</v>
      </c>
      <c r="Q66" s="50">
        <v>0</v>
      </c>
      <c r="R66" s="50">
        <v>0</v>
      </c>
      <c r="S66" s="50">
        <f t="shared" si="7"/>
        <v>25057</v>
      </c>
      <c r="T66" s="50">
        <v>0</v>
      </c>
      <c r="U66" s="50">
        <v>300</v>
      </c>
      <c r="V66" s="50">
        <f t="shared" si="6"/>
        <v>24757</v>
      </c>
      <c r="W66" s="50">
        <v>0</v>
      </c>
      <c r="X66" s="50">
        <v>24757</v>
      </c>
      <c r="Y66" s="42"/>
      <c r="Z66" s="42"/>
      <c r="AA66" s="43"/>
    </row>
    <row r="67" spans="1:28" ht="28.5" customHeight="1" x14ac:dyDescent="0.25">
      <c r="A67" s="47">
        <v>56</v>
      </c>
      <c r="B67" s="51" t="s">
        <v>154</v>
      </c>
      <c r="C67" s="49" t="s">
        <v>155</v>
      </c>
      <c r="D67" s="50">
        <f t="shared" si="3"/>
        <v>72228</v>
      </c>
      <c r="E67" s="50">
        <v>4867</v>
      </c>
      <c r="F67" s="50">
        <v>1606</v>
      </c>
      <c r="G67" s="50">
        <v>0</v>
      </c>
      <c r="H67" s="50">
        <v>0</v>
      </c>
      <c r="I67" s="50">
        <v>0</v>
      </c>
      <c r="J67" s="50">
        <v>0</v>
      </c>
      <c r="K67" s="50">
        <f t="shared" si="4"/>
        <v>8000</v>
      </c>
      <c r="L67" s="50">
        <v>140</v>
      </c>
      <c r="M67" s="50">
        <v>7860</v>
      </c>
      <c r="N67" s="50">
        <f t="shared" si="5"/>
        <v>0</v>
      </c>
      <c r="O67" s="50">
        <v>0</v>
      </c>
      <c r="P67" s="50">
        <v>0</v>
      </c>
      <c r="Q67" s="50">
        <v>0</v>
      </c>
      <c r="R67" s="50">
        <v>4121</v>
      </c>
      <c r="S67" s="50">
        <f t="shared" si="7"/>
        <v>53634</v>
      </c>
      <c r="T67" s="50">
        <v>0</v>
      </c>
      <c r="U67" s="50">
        <v>675</v>
      </c>
      <c r="V67" s="50">
        <f t="shared" si="6"/>
        <v>52959</v>
      </c>
      <c r="W67" s="50">
        <v>0</v>
      </c>
      <c r="X67" s="50">
        <v>52959</v>
      </c>
      <c r="Y67" s="42"/>
      <c r="Z67" s="42"/>
      <c r="AA67" s="43"/>
    </row>
    <row r="68" spans="1:28" ht="28.5" customHeight="1" x14ac:dyDescent="0.25">
      <c r="A68" s="47">
        <v>57</v>
      </c>
      <c r="B68" s="48" t="s">
        <v>158</v>
      </c>
      <c r="C68" s="49" t="s">
        <v>159</v>
      </c>
      <c r="D68" s="50">
        <f t="shared" si="3"/>
        <v>29527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f t="shared" si="4"/>
        <v>0</v>
      </c>
      <c r="L68" s="50">
        <v>0</v>
      </c>
      <c r="M68" s="50">
        <v>0</v>
      </c>
      <c r="N68" s="50">
        <f t="shared" si="5"/>
        <v>0</v>
      </c>
      <c r="O68" s="50">
        <v>0</v>
      </c>
      <c r="P68" s="50">
        <v>0</v>
      </c>
      <c r="Q68" s="50">
        <v>0</v>
      </c>
      <c r="R68" s="50">
        <v>0</v>
      </c>
      <c r="S68" s="50">
        <f t="shared" si="7"/>
        <v>29527</v>
      </c>
      <c r="T68" s="50">
        <v>11949</v>
      </c>
      <c r="U68" s="50">
        <v>0</v>
      </c>
      <c r="V68" s="50">
        <f t="shared" si="6"/>
        <v>17578</v>
      </c>
      <c r="W68" s="50">
        <v>17578</v>
      </c>
      <c r="X68" s="50">
        <v>0</v>
      </c>
      <c r="Y68" s="42"/>
      <c r="Z68" s="42"/>
      <c r="AA68" s="43"/>
    </row>
    <row r="69" spans="1:28" ht="28.5" customHeight="1" x14ac:dyDescent="0.25">
      <c r="A69" s="47">
        <v>58</v>
      </c>
      <c r="B69" s="48" t="s">
        <v>160</v>
      </c>
      <c r="C69" s="49" t="s">
        <v>161</v>
      </c>
      <c r="D69" s="50">
        <f t="shared" si="3"/>
        <v>29571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f t="shared" si="4"/>
        <v>0</v>
      </c>
      <c r="L69" s="50">
        <v>0</v>
      </c>
      <c r="M69" s="50">
        <v>0</v>
      </c>
      <c r="N69" s="50">
        <f t="shared" si="5"/>
        <v>0</v>
      </c>
      <c r="O69" s="50">
        <v>0</v>
      </c>
      <c r="P69" s="50">
        <v>0</v>
      </c>
      <c r="Q69" s="50">
        <v>0</v>
      </c>
      <c r="R69" s="50">
        <v>0</v>
      </c>
      <c r="S69" s="50">
        <f t="shared" si="7"/>
        <v>29571</v>
      </c>
      <c r="T69" s="50">
        <v>13891</v>
      </c>
      <c r="U69" s="50">
        <v>0</v>
      </c>
      <c r="V69" s="50">
        <f t="shared" si="6"/>
        <v>15680</v>
      </c>
      <c r="W69" s="50">
        <v>15680</v>
      </c>
      <c r="X69" s="50">
        <v>0</v>
      </c>
      <c r="Y69" s="42"/>
      <c r="Z69" s="42"/>
      <c r="AA69" s="43"/>
      <c r="AB69" s="36"/>
    </row>
    <row r="70" spans="1:28" ht="28.5" customHeight="1" x14ac:dyDescent="0.25">
      <c r="A70" s="47">
        <v>59</v>
      </c>
      <c r="B70" s="51" t="s">
        <v>162</v>
      </c>
      <c r="C70" s="49" t="s">
        <v>163</v>
      </c>
      <c r="D70" s="50">
        <f t="shared" si="3"/>
        <v>88017</v>
      </c>
      <c r="E70" s="50">
        <v>6607</v>
      </c>
      <c r="F70" s="50">
        <v>346</v>
      </c>
      <c r="G70" s="50">
        <v>11714</v>
      </c>
      <c r="H70" s="50">
        <v>15</v>
      </c>
      <c r="I70" s="50">
        <v>3356</v>
      </c>
      <c r="J70" s="50">
        <v>0</v>
      </c>
      <c r="K70" s="50">
        <f t="shared" si="4"/>
        <v>0</v>
      </c>
      <c r="L70" s="50">
        <v>0</v>
      </c>
      <c r="M70" s="50">
        <v>0</v>
      </c>
      <c r="N70" s="50">
        <f t="shared" si="5"/>
        <v>0</v>
      </c>
      <c r="O70" s="50">
        <v>0</v>
      </c>
      <c r="P70" s="50">
        <v>0</v>
      </c>
      <c r="Q70" s="50">
        <v>0</v>
      </c>
      <c r="R70" s="50">
        <v>0</v>
      </c>
      <c r="S70" s="50">
        <f t="shared" si="7"/>
        <v>65979</v>
      </c>
      <c r="T70" s="50">
        <v>0</v>
      </c>
      <c r="U70" s="50">
        <v>8114</v>
      </c>
      <c r="V70" s="50">
        <f t="shared" si="6"/>
        <v>57865</v>
      </c>
      <c r="W70" s="50">
        <v>0</v>
      </c>
      <c r="X70" s="50">
        <v>57865</v>
      </c>
      <c r="Y70" s="42"/>
      <c r="Z70" s="42"/>
      <c r="AA70" s="43"/>
    </row>
    <row r="71" spans="1:28" ht="28.5" customHeight="1" x14ac:dyDescent="0.25">
      <c r="A71" s="47">
        <v>60</v>
      </c>
      <c r="B71" s="51" t="s">
        <v>164</v>
      </c>
      <c r="C71" s="49" t="s">
        <v>165</v>
      </c>
      <c r="D71" s="50">
        <f t="shared" si="3"/>
        <v>44569</v>
      </c>
      <c r="E71" s="50">
        <v>3826</v>
      </c>
      <c r="F71" s="50">
        <v>209</v>
      </c>
      <c r="G71" s="50">
        <v>6784</v>
      </c>
      <c r="H71" s="50">
        <f>669</f>
        <v>669</v>
      </c>
      <c r="I71" s="50">
        <v>1916</v>
      </c>
      <c r="J71" s="50">
        <v>0</v>
      </c>
      <c r="K71" s="50">
        <f t="shared" si="4"/>
        <v>0</v>
      </c>
      <c r="L71" s="50">
        <v>0</v>
      </c>
      <c r="M71" s="50">
        <v>0</v>
      </c>
      <c r="N71" s="50">
        <f t="shared" si="5"/>
        <v>0</v>
      </c>
      <c r="O71" s="50">
        <v>0</v>
      </c>
      <c r="P71" s="50">
        <v>0</v>
      </c>
      <c r="Q71" s="50">
        <v>0</v>
      </c>
      <c r="R71" s="50">
        <v>0</v>
      </c>
      <c r="S71" s="50">
        <f t="shared" si="7"/>
        <v>31165</v>
      </c>
      <c r="T71" s="50">
        <v>0</v>
      </c>
      <c r="U71" s="50">
        <v>800</v>
      </c>
      <c r="V71" s="50">
        <f t="shared" si="6"/>
        <v>30365</v>
      </c>
      <c r="W71" s="50">
        <v>0</v>
      </c>
      <c r="X71" s="50">
        <v>30365</v>
      </c>
      <c r="Y71" s="42"/>
      <c r="Z71" s="42"/>
      <c r="AA71" s="43"/>
    </row>
    <row r="72" spans="1:28" ht="28.5" customHeight="1" x14ac:dyDescent="0.25">
      <c r="A72" s="47">
        <v>61</v>
      </c>
      <c r="B72" s="51" t="s">
        <v>166</v>
      </c>
      <c r="C72" s="49" t="s">
        <v>167</v>
      </c>
      <c r="D72" s="50">
        <f t="shared" si="3"/>
        <v>115247</v>
      </c>
      <c r="E72" s="50">
        <v>8784</v>
      </c>
      <c r="F72" s="50">
        <v>442</v>
      </c>
      <c r="G72" s="50">
        <v>15827</v>
      </c>
      <c r="H72" s="50">
        <v>0</v>
      </c>
      <c r="I72" s="50">
        <v>4450</v>
      </c>
      <c r="J72" s="50">
        <v>0</v>
      </c>
      <c r="K72" s="50">
        <f t="shared" si="4"/>
        <v>0</v>
      </c>
      <c r="L72" s="50">
        <v>0</v>
      </c>
      <c r="M72" s="50">
        <v>0</v>
      </c>
      <c r="N72" s="50">
        <f t="shared" si="5"/>
        <v>0</v>
      </c>
      <c r="O72" s="50">
        <v>0</v>
      </c>
      <c r="P72" s="50">
        <v>0</v>
      </c>
      <c r="Q72" s="50">
        <v>0</v>
      </c>
      <c r="R72" s="50">
        <v>0</v>
      </c>
      <c r="S72" s="50">
        <f t="shared" si="7"/>
        <v>85744</v>
      </c>
      <c r="T72" s="50">
        <v>0</v>
      </c>
      <c r="U72" s="50">
        <v>9643</v>
      </c>
      <c r="V72" s="50">
        <f t="shared" si="6"/>
        <v>76101</v>
      </c>
      <c r="W72" s="50">
        <v>0</v>
      </c>
      <c r="X72" s="50">
        <v>76101</v>
      </c>
      <c r="Y72" s="42"/>
      <c r="Z72" s="42"/>
      <c r="AA72" s="43"/>
    </row>
    <row r="73" spans="1:28" ht="36" customHeight="1" x14ac:dyDescent="0.25">
      <c r="A73" s="894">
        <v>62</v>
      </c>
      <c r="B73" s="48" t="s">
        <v>170</v>
      </c>
      <c r="C73" s="56" t="s">
        <v>770</v>
      </c>
      <c r="D73" s="50">
        <f t="shared" ref="D73:D138" si="8">E73+F73+G73+H73+I73+J73+K73+N73+R73+S73</f>
        <v>53722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f t="shared" ref="K73:K138" si="9">L73+M73</f>
        <v>0</v>
      </c>
      <c r="L73" s="50">
        <v>0</v>
      </c>
      <c r="M73" s="50">
        <v>0</v>
      </c>
      <c r="N73" s="50">
        <f t="shared" ref="N73:N138" si="10">O73+P73+Q73</f>
        <v>0</v>
      </c>
      <c r="O73" s="50">
        <v>0</v>
      </c>
      <c r="P73" s="50">
        <v>0</v>
      </c>
      <c r="Q73" s="50">
        <v>0</v>
      </c>
      <c r="R73" s="50">
        <v>0</v>
      </c>
      <c r="S73" s="50">
        <f t="shared" ref="S73:S139" si="11">T73+U73+V73</f>
        <v>53722</v>
      </c>
      <c r="T73" s="50">
        <v>0</v>
      </c>
      <c r="U73" s="50">
        <v>0</v>
      </c>
      <c r="V73" s="50">
        <f t="shared" ref="V73:V138" si="12">W73+X73</f>
        <v>53722</v>
      </c>
      <c r="W73" s="686">
        <f>15367+25570+5617+7168</f>
        <v>53722</v>
      </c>
      <c r="X73" s="50">
        <v>0</v>
      </c>
      <c r="Y73" s="42"/>
      <c r="Z73" s="42"/>
      <c r="AA73" s="43"/>
    </row>
    <row r="74" spans="1:28" ht="28.5" customHeight="1" x14ac:dyDescent="0.25">
      <c r="A74" s="895"/>
      <c r="B74" s="51" t="s">
        <v>168</v>
      </c>
      <c r="C74" s="49" t="s">
        <v>169</v>
      </c>
      <c r="D74" s="50">
        <f t="shared" ref="D74:D75" si="13">E74+F74+G74+H74+I74+J74+K74+N74+R74+S74</f>
        <v>6457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f t="shared" ref="K74:K75" si="14">L74+M74</f>
        <v>0</v>
      </c>
      <c r="L74" s="50">
        <v>0</v>
      </c>
      <c r="M74" s="50">
        <v>0</v>
      </c>
      <c r="N74" s="50">
        <f t="shared" ref="N74:N75" si="15">O74+P74+Q74</f>
        <v>0</v>
      </c>
      <c r="O74" s="50">
        <v>0</v>
      </c>
      <c r="P74" s="50">
        <v>0</v>
      </c>
      <c r="Q74" s="50">
        <v>0</v>
      </c>
      <c r="R74" s="50">
        <v>0</v>
      </c>
      <c r="S74" s="50">
        <f t="shared" si="11"/>
        <v>6457</v>
      </c>
      <c r="T74" s="50">
        <v>0</v>
      </c>
      <c r="U74" s="50">
        <v>0</v>
      </c>
      <c r="V74" s="50">
        <f t="shared" ref="V74:V75" si="16">W74+X74</f>
        <v>6457</v>
      </c>
      <c r="W74" s="686">
        <v>6457</v>
      </c>
      <c r="X74" s="50">
        <v>0</v>
      </c>
      <c r="Y74" s="42"/>
      <c r="Z74" s="42"/>
      <c r="AA74" s="43"/>
    </row>
    <row r="75" spans="1:28" ht="24.75" customHeight="1" x14ac:dyDescent="0.25">
      <c r="A75" s="896"/>
      <c r="B75" s="51" t="s">
        <v>174</v>
      </c>
      <c r="C75" s="49" t="s">
        <v>175</v>
      </c>
      <c r="D75" s="50">
        <f t="shared" si="13"/>
        <v>6941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f t="shared" si="14"/>
        <v>0</v>
      </c>
      <c r="L75" s="50">
        <v>0</v>
      </c>
      <c r="M75" s="50">
        <v>0</v>
      </c>
      <c r="N75" s="50">
        <f t="shared" si="15"/>
        <v>0</v>
      </c>
      <c r="O75" s="50">
        <v>0</v>
      </c>
      <c r="P75" s="50">
        <v>0</v>
      </c>
      <c r="Q75" s="50">
        <v>0</v>
      </c>
      <c r="R75" s="50">
        <v>0</v>
      </c>
      <c r="S75" s="50">
        <f t="shared" ref="S75" si="17">T75+U75+V75</f>
        <v>6941</v>
      </c>
      <c r="T75" s="50">
        <v>0</v>
      </c>
      <c r="U75" s="50">
        <v>0</v>
      </c>
      <c r="V75" s="50">
        <f t="shared" si="16"/>
        <v>6941</v>
      </c>
      <c r="W75" s="686">
        <v>6941</v>
      </c>
      <c r="X75" s="50">
        <v>0</v>
      </c>
      <c r="Y75" s="42"/>
      <c r="Z75" s="42"/>
      <c r="AA75" s="43"/>
    </row>
    <row r="76" spans="1:28" ht="37.5" customHeight="1" x14ac:dyDescent="0.25">
      <c r="A76" s="894">
        <v>63</v>
      </c>
      <c r="B76" s="617" t="s">
        <v>176</v>
      </c>
      <c r="C76" s="56" t="s">
        <v>773</v>
      </c>
      <c r="D76" s="685">
        <f t="shared" si="8"/>
        <v>80803</v>
      </c>
      <c r="E76" s="685">
        <v>0</v>
      </c>
      <c r="F76" s="685">
        <v>0</v>
      </c>
      <c r="G76" s="685">
        <v>0</v>
      </c>
      <c r="H76" s="685">
        <v>0</v>
      </c>
      <c r="I76" s="685">
        <v>0</v>
      </c>
      <c r="J76" s="685">
        <v>0</v>
      </c>
      <c r="K76" s="685">
        <f t="shared" si="9"/>
        <v>0</v>
      </c>
      <c r="L76" s="685">
        <v>0</v>
      </c>
      <c r="M76" s="685">
        <v>0</v>
      </c>
      <c r="N76" s="685">
        <f t="shared" si="10"/>
        <v>0</v>
      </c>
      <c r="O76" s="685">
        <v>0</v>
      </c>
      <c r="P76" s="685">
        <v>0</v>
      </c>
      <c r="Q76" s="685">
        <v>0</v>
      </c>
      <c r="R76" s="685">
        <v>0</v>
      </c>
      <c r="S76" s="685">
        <f t="shared" si="11"/>
        <v>80803</v>
      </c>
      <c r="T76" s="685">
        <v>2833</v>
      </c>
      <c r="U76" s="685">
        <v>0</v>
      </c>
      <c r="V76" s="685">
        <f t="shared" si="12"/>
        <v>77970</v>
      </c>
      <c r="W76" s="687">
        <f>22674+36864+6350+6339+5743</f>
        <v>77970</v>
      </c>
      <c r="X76" s="685">
        <v>0</v>
      </c>
      <c r="Y76" s="42"/>
      <c r="Z76" s="42"/>
      <c r="AA76" s="43"/>
    </row>
    <row r="77" spans="1:28" ht="27" customHeight="1" x14ac:dyDescent="0.25">
      <c r="A77" s="895"/>
      <c r="B77" s="51" t="s">
        <v>172</v>
      </c>
      <c r="C77" s="49" t="s">
        <v>173</v>
      </c>
      <c r="D77" s="50">
        <f t="shared" ref="D77" si="18">E77+F77+G77+H77+I77+J77+K77+N77+R77+S77</f>
        <v>6265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f t="shared" ref="K77" si="19">L77+M77</f>
        <v>0</v>
      </c>
      <c r="L77" s="50">
        <v>0</v>
      </c>
      <c r="M77" s="50">
        <v>0</v>
      </c>
      <c r="N77" s="50">
        <f t="shared" ref="N77" si="20">O77+P77+Q77</f>
        <v>0</v>
      </c>
      <c r="O77" s="50">
        <v>0</v>
      </c>
      <c r="P77" s="50">
        <v>0</v>
      </c>
      <c r="Q77" s="50">
        <v>0</v>
      </c>
      <c r="R77" s="50">
        <v>0</v>
      </c>
      <c r="S77" s="50">
        <f t="shared" ref="S77" si="21">T77+U77+V77</f>
        <v>6265</v>
      </c>
      <c r="T77" s="50">
        <v>0</v>
      </c>
      <c r="U77" s="50">
        <v>0</v>
      </c>
      <c r="V77" s="50">
        <f t="shared" ref="V77" si="22">W77+X77</f>
        <v>6265</v>
      </c>
      <c r="W77" s="686">
        <v>6265</v>
      </c>
      <c r="X77" s="50">
        <v>0</v>
      </c>
      <c r="Y77" s="42"/>
      <c r="Z77" s="42"/>
      <c r="AA77" s="43"/>
    </row>
    <row r="78" spans="1:28" ht="30" customHeight="1" x14ac:dyDescent="0.25">
      <c r="A78" s="895"/>
      <c r="B78" s="48" t="s">
        <v>178</v>
      </c>
      <c r="C78" s="49" t="s">
        <v>179</v>
      </c>
      <c r="D78" s="50">
        <f t="shared" si="8"/>
        <v>6689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f t="shared" si="9"/>
        <v>0</v>
      </c>
      <c r="L78" s="50">
        <v>0</v>
      </c>
      <c r="M78" s="50">
        <v>0</v>
      </c>
      <c r="N78" s="50">
        <f t="shared" si="10"/>
        <v>0</v>
      </c>
      <c r="O78" s="50">
        <v>0</v>
      </c>
      <c r="P78" s="50">
        <v>0</v>
      </c>
      <c r="Q78" s="50">
        <v>0</v>
      </c>
      <c r="R78" s="50">
        <v>0</v>
      </c>
      <c r="S78" s="50">
        <f t="shared" si="11"/>
        <v>6689</v>
      </c>
      <c r="T78" s="50">
        <v>0</v>
      </c>
      <c r="U78" s="50">
        <v>0</v>
      </c>
      <c r="V78" s="50">
        <f t="shared" si="12"/>
        <v>6689</v>
      </c>
      <c r="W78" s="686">
        <v>6689</v>
      </c>
      <c r="X78" s="50">
        <v>0</v>
      </c>
      <c r="Y78" s="42"/>
      <c r="Z78" s="42"/>
      <c r="AA78" s="43"/>
    </row>
    <row r="79" spans="1:28" ht="34.5" customHeight="1" x14ac:dyDescent="0.25">
      <c r="A79" s="896"/>
      <c r="B79" s="48" t="s">
        <v>180</v>
      </c>
      <c r="C79" s="49" t="s">
        <v>181</v>
      </c>
      <c r="D79" s="50">
        <f t="shared" si="8"/>
        <v>4872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f t="shared" si="9"/>
        <v>0</v>
      </c>
      <c r="L79" s="50">
        <v>0</v>
      </c>
      <c r="M79" s="50">
        <v>0</v>
      </c>
      <c r="N79" s="50">
        <f t="shared" si="10"/>
        <v>0</v>
      </c>
      <c r="O79" s="50">
        <v>0</v>
      </c>
      <c r="P79" s="50">
        <v>0</v>
      </c>
      <c r="Q79" s="50">
        <v>0</v>
      </c>
      <c r="R79" s="50">
        <v>0</v>
      </c>
      <c r="S79" s="50">
        <f t="shared" si="11"/>
        <v>4872</v>
      </c>
      <c r="T79" s="50">
        <v>0</v>
      </c>
      <c r="U79" s="50">
        <v>0</v>
      </c>
      <c r="V79" s="50">
        <f t="shared" si="12"/>
        <v>4872</v>
      </c>
      <c r="W79" s="686">
        <v>4872</v>
      </c>
      <c r="X79" s="50">
        <v>0</v>
      </c>
      <c r="Y79" s="42"/>
      <c r="Z79" s="42"/>
      <c r="AA79" s="43"/>
    </row>
    <row r="80" spans="1:28" ht="28.5" customHeight="1" x14ac:dyDescent="0.25">
      <c r="A80" s="47">
        <v>64</v>
      </c>
      <c r="B80" s="166" t="s">
        <v>182</v>
      </c>
      <c r="C80" s="49" t="s">
        <v>183</v>
      </c>
      <c r="D80" s="50">
        <f t="shared" si="8"/>
        <v>103445</v>
      </c>
      <c r="E80" s="50">
        <v>7302</v>
      </c>
      <c r="F80" s="50">
        <v>960</v>
      </c>
      <c r="G80" s="50">
        <v>9088</v>
      </c>
      <c r="H80" s="50">
        <v>42</v>
      </c>
      <c r="I80" s="50">
        <v>2816</v>
      </c>
      <c r="J80" s="50">
        <v>0</v>
      </c>
      <c r="K80" s="50">
        <f t="shared" si="9"/>
        <v>2300</v>
      </c>
      <c r="L80" s="50">
        <v>30</v>
      </c>
      <c r="M80" s="50">
        <v>2270</v>
      </c>
      <c r="N80" s="50">
        <f t="shared" si="10"/>
        <v>0</v>
      </c>
      <c r="O80" s="50">
        <v>0</v>
      </c>
      <c r="P80" s="50">
        <v>0</v>
      </c>
      <c r="Q80" s="50">
        <v>0</v>
      </c>
      <c r="R80" s="50">
        <v>2654</v>
      </c>
      <c r="S80" s="50">
        <f t="shared" si="11"/>
        <v>78283</v>
      </c>
      <c r="T80" s="50">
        <v>0</v>
      </c>
      <c r="U80" s="50">
        <v>3030</v>
      </c>
      <c r="V80" s="50">
        <f t="shared" si="12"/>
        <v>75253</v>
      </c>
      <c r="W80" s="50">
        <v>17710</v>
      </c>
      <c r="X80" s="50">
        <v>57543</v>
      </c>
      <c r="Y80" s="42"/>
      <c r="Z80" s="42"/>
      <c r="AA80" s="43"/>
    </row>
    <row r="81" spans="1:27" ht="28.5" customHeight="1" x14ac:dyDescent="0.25">
      <c r="A81" s="47">
        <v>65</v>
      </c>
      <c r="B81" s="48" t="s">
        <v>184</v>
      </c>
      <c r="C81" s="49" t="s">
        <v>185</v>
      </c>
      <c r="D81" s="50">
        <f t="shared" si="8"/>
        <v>166283</v>
      </c>
      <c r="E81" s="50">
        <v>12625</v>
      </c>
      <c r="F81" s="50">
        <v>710</v>
      </c>
      <c r="G81" s="50">
        <v>21915</v>
      </c>
      <c r="H81" s="50">
        <v>3</v>
      </c>
      <c r="I81" s="50">
        <v>6912</v>
      </c>
      <c r="J81" s="50">
        <v>0</v>
      </c>
      <c r="K81" s="50">
        <f t="shared" si="9"/>
        <v>255</v>
      </c>
      <c r="L81" s="50">
        <v>0</v>
      </c>
      <c r="M81" s="50">
        <v>255</v>
      </c>
      <c r="N81" s="50">
        <f t="shared" si="10"/>
        <v>0</v>
      </c>
      <c r="O81" s="50">
        <v>0</v>
      </c>
      <c r="P81" s="50">
        <v>0</v>
      </c>
      <c r="Q81" s="50">
        <v>0</v>
      </c>
      <c r="R81" s="50">
        <v>4338</v>
      </c>
      <c r="S81" s="50">
        <f t="shared" si="11"/>
        <v>119525</v>
      </c>
      <c r="T81" s="50">
        <v>0</v>
      </c>
      <c r="U81" s="50">
        <v>10400</v>
      </c>
      <c r="V81" s="50">
        <f t="shared" si="12"/>
        <v>109125</v>
      </c>
      <c r="W81" s="50">
        <v>0</v>
      </c>
      <c r="X81" s="50">
        <v>109125</v>
      </c>
      <c r="Y81" s="42"/>
      <c r="Z81" s="42"/>
      <c r="AA81" s="43"/>
    </row>
    <row r="82" spans="1:27" ht="28.5" customHeight="1" x14ac:dyDescent="0.25">
      <c r="A82" s="47">
        <v>66</v>
      </c>
      <c r="B82" s="166" t="s">
        <v>186</v>
      </c>
      <c r="C82" s="49" t="s">
        <v>187</v>
      </c>
      <c r="D82" s="50">
        <f t="shared" si="8"/>
        <v>96527</v>
      </c>
      <c r="E82" s="50">
        <v>6723</v>
      </c>
      <c r="F82" s="50">
        <v>363</v>
      </c>
      <c r="G82" s="50">
        <v>11919</v>
      </c>
      <c r="H82" s="50">
        <v>21</v>
      </c>
      <c r="I82" s="50">
        <v>3357</v>
      </c>
      <c r="J82" s="50">
        <v>7941</v>
      </c>
      <c r="K82" s="50">
        <f t="shared" si="9"/>
        <v>0</v>
      </c>
      <c r="L82" s="50">
        <v>0</v>
      </c>
      <c r="M82" s="50">
        <v>0</v>
      </c>
      <c r="N82" s="50">
        <f t="shared" si="10"/>
        <v>0</v>
      </c>
      <c r="O82" s="50">
        <v>0</v>
      </c>
      <c r="P82" s="50">
        <v>0</v>
      </c>
      <c r="Q82" s="50">
        <v>0</v>
      </c>
      <c r="R82" s="50">
        <v>5265</v>
      </c>
      <c r="S82" s="50">
        <f t="shared" si="11"/>
        <v>60938</v>
      </c>
      <c r="T82" s="50">
        <v>0</v>
      </c>
      <c r="U82" s="50">
        <v>2100</v>
      </c>
      <c r="V82" s="50">
        <f t="shared" si="12"/>
        <v>58838</v>
      </c>
      <c r="W82" s="50">
        <v>11221</v>
      </c>
      <c r="X82" s="50">
        <v>47617</v>
      </c>
      <c r="Y82" s="42"/>
      <c r="Z82" s="42"/>
      <c r="AA82" s="43"/>
    </row>
    <row r="83" spans="1:27" ht="28.5" customHeight="1" x14ac:dyDescent="0.25">
      <c r="A83" s="894">
        <v>67</v>
      </c>
      <c r="B83" s="617" t="s">
        <v>188</v>
      </c>
      <c r="C83" s="56" t="s">
        <v>777</v>
      </c>
      <c r="D83" s="685">
        <f t="shared" si="8"/>
        <v>103764</v>
      </c>
      <c r="E83" s="685">
        <f>4563+1891+945</f>
        <v>7399</v>
      </c>
      <c r="F83" s="685">
        <f>419+539+270</f>
        <v>1228</v>
      </c>
      <c r="G83" s="685">
        <v>8089</v>
      </c>
      <c r="H83" s="685">
        <v>39</v>
      </c>
      <c r="I83" s="685">
        <v>2428</v>
      </c>
      <c r="J83" s="685">
        <v>0</v>
      </c>
      <c r="K83" s="685">
        <f t="shared" si="9"/>
        <v>12118</v>
      </c>
      <c r="L83" s="685">
        <f>390+195</f>
        <v>585</v>
      </c>
      <c r="M83" s="685">
        <f>7689+3844</f>
        <v>11533</v>
      </c>
      <c r="N83" s="685">
        <f t="shared" si="10"/>
        <v>0</v>
      </c>
      <c r="O83" s="685">
        <v>0</v>
      </c>
      <c r="P83" s="685">
        <v>0</v>
      </c>
      <c r="Q83" s="685">
        <v>0</v>
      </c>
      <c r="R83" s="685">
        <v>0</v>
      </c>
      <c r="S83" s="685">
        <f t="shared" si="11"/>
        <v>72463</v>
      </c>
      <c r="T83" s="685">
        <v>0</v>
      </c>
      <c r="U83" s="41">
        <f>2474+714+357</f>
        <v>3545</v>
      </c>
      <c r="V83" s="685">
        <f t="shared" si="12"/>
        <v>68918</v>
      </c>
      <c r="W83" s="687">
        <f>10026+3250+1625</f>
        <v>14901</v>
      </c>
      <c r="X83" s="688">
        <f>34500+13011+6506</f>
        <v>54017</v>
      </c>
      <c r="Y83" s="42"/>
      <c r="Z83" s="42"/>
      <c r="AA83" s="43"/>
    </row>
    <row r="84" spans="1:27" ht="28.5" customHeight="1" x14ac:dyDescent="0.25">
      <c r="A84" s="896"/>
      <c r="B84" s="166" t="s">
        <v>156</v>
      </c>
      <c r="C84" s="49" t="s">
        <v>157</v>
      </c>
      <c r="D84" s="50">
        <f t="shared" si="8"/>
        <v>19494</v>
      </c>
      <c r="E84" s="50"/>
      <c r="F84" s="50"/>
      <c r="G84" s="50">
        <v>0</v>
      </c>
      <c r="H84" s="50">
        <v>0</v>
      </c>
      <c r="I84" s="50">
        <v>0</v>
      </c>
      <c r="J84" s="50">
        <v>0</v>
      </c>
      <c r="K84" s="50">
        <f t="shared" si="9"/>
        <v>6179</v>
      </c>
      <c r="L84" s="50">
        <v>195</v>
      </c>
      <c r="M84" s="50">
        <v>5984</v>
      </c>
      <c r="N84" s="50">
        <f t="shared" si="10"/>
        <v>0</v>
      </c>
      <c r="O84" s="50">
        <v>0</v>
      </c>
      <c r="P84" s="50">
        <v>0</v>
      </c>
      <c r="Q84" s="50">
        <v>0</v>
      </c>
      <c r="R84" s="50">
        <v>0</v>
      </c>
      <c r="S84" s="50">
        <f t="shared" si="11"/>
        <v>13315</v>
      </c>
      <c r="T84" s="50">
        <v>0</v>
      </c>
      <c r="U84" s="45">
        <v>357</v>
      </c>
      <c r="V84" s="50">
        <f t="shared" si="12"/>
        <v>12958</v>
      </c>
      <c r="W84" s="686">
        <v>3070</v>
      </c>
      <c r="X84" s="689">
        <v>9888</v>
      </c>
      <c r="Y84" s="42"/>
      <c r="Z84" s="42"/>
      <c r="AA84" s="43"/>
    </row>
    <row r="85" spans="1:27" ht="28.5" customHeight="1" x14ac:dyDescent="0.25">
      <c r="A85" s="47">
        <v>68</v>
      </c>
      <c r="B85" s="48" t="s">
        <v>190</v>
      </c>
      <c r="C85" s="49" t="s">
        <v>191</v>
      </c>
      <c r="D85" s="50">
        <f t="shared" si="8"/>
        <v>166424</v>
      </c>
      <c r="E85" s="50">
        <v>11386</v>
      </c>
      <c r="F85" s="50">
        <v>2105</v>
      </c>
      <c r="G85" s="50">
        <v>20187</v>
      </c>
      <c r="H85" s="50">
        <v>234</v>
      </c>
      <c r="I85" s="50">
        <v>5757</v>
      </c>
      <c r="J85" s="50">
        <v>8551</v>
      </c>
      <c r="K85" s="50">
        <f t="shared" si="9"/>
        <v>0</v>
      </c>
      <c r="L85" s="50">
        <v>0</v>
      </c>
      <c r="M85" s="50">
        <v>0</v>
      </c>
      <c r="N85" s="50">
        <f t="shared" si="10"/>
        <v>0</v>
      </c>
      <c r="O85" s="50">
        <v>0</v>
      </c>
      <c r="P85" s="50">
        <v>0</v>
      </c>
      <c r="Q85" s="50">
        <v>0</v>
      </c>
      <c r="R85" s="50">
        <v>0</v>
      </c>
      <c r="S85" s="50">
        <f t="shared" si="11"/>
        <v>118204</v>
      </c>
      <c r="T85" s="50">
        <v>0</v>
      </c>
      <c r="U85" s="50">
        <v>9000</v>
      </c>
      <c r="V85" s="50">
        <f t="shared" si="12"/>
        <v>109204</v>
      </c>
      <c r="W85" s="50">
        <v>14428</v>
      </c>
      <c r="X85" s="50">
        <v>94776</v>
      </c>
      <c r="Y85" s="42"/>
      <c r="Z85" s="42"/>
      <c r="AA85" s="43"/>
    </row>
    <row r="86" spans="1:27" ht="28.5" customHeight="1" x14ac:dyDescent="0.25">
      <c r="A86" s="894">
        <v>69</v>
      </c>
      <c r="B86" s="617" t="s">
        <v>192</v>
      </c>
      <c r="C86" s="56" t="s">
        <v>772</v>
      </c>
      <c r="D86" s="685">
        <f>E86+F86+G86+H86+I86+J86+K86+N86+R86+S86</f>
        <v>92757</v>
      </c>
      <c r="E86" s="685">
        <f>2645+2390+1195</f>
        <v>6230</v>
      </c>
      <c r="F86" s="685">
        <f>587+627+313</f>
        <v>1527</v>
      </c>
      <c r="G86" s="685">
        <v>0</v>
      </c>
      <c r="H86" s="685">
        <v>0</v>
      </c>
      <c r="I86" s="685">
        <v>0</v>
      </c>
      <c r="J86" s="685">
        <v>0</v>
      </c>
      <c r="K86" s="685">
        <f t="shared" si="9"/>
        <v>17971</v>
      </c>
      <c r="L86" s="685">
        <f>49+240+120</f>
        <v>409</v>
      </c>
      <c r="M86" s="685">
        <f>3928+9089+4545</f>
        <v>17562</v>
      </c>
      <c r="N86" s="685">
        <f t="shared" si="10"/>
        <v>0</v>
      </c>
      <c r="O86" s="685">
        <v>0</v>
      </c>
      <c r="P86" s="685">
        <v>0</v>
      </c>
      <c r="Q86" s="685">
        <v>0</v>
      </c>
      <c r="R86" s="685">
        <f>2586+1293</f>
        <v>3879</v>
      </c>
      <c r="S86" s="685">
        <f t="shared" si="11"/>
        <v>63150</v>
      </c>
      <c r="T86" s="41">
        <f>1773+887</f>
        <v>2660</v>
      </c>
      <c r="U86" s="41">
        <f>2825+200+100</f>
        <v>3125</v>
      </c>
      <c r="V86" s="685">
        <f t="shared" si="12"/>
        <v>57365</v>
      </c>
      <c r="W86" s="687">
        <f>6992+3496</f>
        <v>10488</v>
      </c>
      <c r="X86" s="688">
        <f>26695+13455+6727</f>
        <v>46877</v>
      </c>
      <c r="Y86" s="42"/>
      <c r="Z86" s="42"/>
      <c r="AA86" s="43"/>
    </row>
    <row r="87" spans="1:27" ht="28.5" customHeight="1" x14ac:dyDescent="0.25">
      <c r="A87" s="896"/>
      <c r="B87" s="48" t="s">
        <v>152</v>
      </c>
      <c r="C87" s="49" t="s">
        <v>153</v>
      </c>
      <c r="D87" s="50">
        <f t="shared" ref="D87" si="23">E87+F87+G87+H87+I87+J87+K87+N87+R87+S87</f>
        <v>23175</v>
      </c>
      <c r="E87" s="50">
        <v>35</v>
      </c>
      <c r="F87" s="50"/>
      <c r="G87" s="50">
        <v>0</v>
      </c>
      <c r="H87" s="50">
        <v>0</v>
      </c>
      <c r="I87" s="50">
        <v>0</v>
      </c>
      <c r="J87" s="50">
        <v>0</v>
      </c>
      <c r="K87" s="50">
        <f t="shared" si="9"/>
        <v>7132</v>
      </c>
      <c r="L87" s="50">
        <v>120</v>
      </c>
      <c r="M87" s="50">
        <v>7012</v>
      </c>
      <c r="N87" s="50">
        <f t="shared" si="10"/>
        <v>0</v>
      </c>
      <c r="O87" s="50">
        <v>0</v>
      </c>
      <c r="P87" s="50">
        <v>0</v>
      </c>
      <c r="Q87" s="50">
        <v>0</v>
      </c>
      <c r="R87" s="50">
        <v>1142</v>
      </c>
      <c r="S87" s="50">
        <f t="shared" si="11"/>
        <v>14866</v>
      </c>
      <c r="T87" s="45">
        <v>887</v>
      </c>
      <c r="U87" s="45">
        <v>100</v>
      </c>
      <c r="V87" s="50">
        <f t="shared" si="12"/>
        <v>13879</v>
      </c>
      <c r="W87" s="686">
        <v>4278</v>
      </c>
      <c r="X87" s="50">
        <v>9601</v>
      </c>
      <c r="Y87" s="42"/>
      <c r="Z87" s="42"/>
      <c r="AA87" s="43"/>
    </row>
    <row r="88" spans="1:27" x14ac:dyDescent="0.25">
      <c r="A88" s="47">
        <v>70</v>
      </c>
      <c r="B88" s="48" t="s">
        <v>194</v>
      </c>
      <c r="C88" s="49" t="s">
        <v>195</v>
      </c>
      <c r="D88" s="50">
        <f t="shared" si="8"/>
        <v>112937</v>
      </c>
      <c r="E88" s="50">
        <v>9162</v>
      </c>
      <c r="F88" s="50">
        <v>446</v>
      </c>
      <c r="G88" s="50">
        <v>16244</v>
      </c>
      <c r="H88" s="50">
        <v>3</v>
      </c>
      <c r="I88" s="50">
        <v>4934</v>
      </c>
      <c r="J88" s="50">
        <v>0</v>
      </c>
      <c r="K88" s="50">
        <f t="shared" si="9"/>
        <v>0</v>
      </c>
      <c r="L88" s="50">
        <v>0</v>
      </c>
      <c r="M88" s="50">
        <v>0</v>
      </c>
      <c r="N88" s="50">
        <f t="shared" si="10"/>
        <v>0</v>
      </c>
      <c r="O88" s="50">
        <v>0</v>
      </c>
      <c r="P88" s="50">
        <v>0</v>
      </c>
      <c r="Q88" s="50">
        <v>0</v>
      </c>
      <c r="R88" s="50">
        <v>0</v>
      </c>
      <c r="S88" s="50">
        <f t="shared" si="11"/>
        <v>82148</v>
      </c>
      <c r="T88" s="50">
        <v>0</v>
      </c>
      <c r="U88" s="50">
        <v>5530</v>
      </c>
      <c r="V88" s="50">
        <f t="shared" si="12"/>
        <v>76618</v>
      </c>
      <c r="W88" s="50">
        <v>7339</v>
      </c>
      <c r="X88" s="50">
        <v>69279</v>
      </c>
      <c r="Y88" s="42"/>
      <c r="Z88" s="42"/>
      <c r="AA88" s="43"/>
    </row>
    <row r="89" spans="1:27" x14ac:dyDescent="0.25">
      <c r="A89" s="47">
        <v>71</v>
      </c>
      <c r="B89" s="48" t="s">
        <v>196</v>
      </c>
      <c r="C89" s="49" t="s">
        <v>197</v>
      </c>
      <c r="D89" s="50">
        <f t="shared" si="8"/>
        <v>27747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f t="shared" si="9"/>
        <v>0</v>
      </c>
      <c r="L89" s="50">
        <v>0</v>
      </c>
      <c r="M89" s="50">
        <v>0</v>
      </c>
      <c r="N89" s="50">
        <f t="shared" si="10"/>
        <v>27747</v>
      </c>
      <c r="O89" s="50">
        <v>26718</v>
      </c>
      <c r="P89" s="50">
        <v>1029</v>
      </c>
      <c r="Q89" s="50">
        <v>0</v>
      </c>
      <c r="R89" s="50">
        <v>0</v>
      </c>
      <c r="S89" s="50">
        <f t="shared" si="11"/>
        <v>0</v>
      </c>
      <c r="T89" s="50">
        <v>0</v>
      </c>
      <c r="U89" s="50">
        <v>0</v>
      </c>
      <c r="V89" s="50">
        <f t="shared" si="12"/>
        <v>0</v>
      </c>
      <c r="W89" s="50">
        <v>0</v>
      </c>
      <c r="X89" s="50">
        <v>0</v>
      </c>
      <c r="Y89" s="42"/>
      <c r="Z89" s="42"/>
      <c r="AA89" s="43"/>
    </row>
    <row r="90" spans="1:27" x14ac:dyDescent="0.25">
      <c r="A90" s="47">
        <v>72</v>
      </c>
      <c r="B90" s="51" t="s">
        <v>30</v>
      </c>
      <c r="C90" s="49" t="s">
        <v>198</v>
      </c>
      <c r="D90" s="50">
        <f t="shared" si="8"/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f t="shared" si="9"/>
        <v>0</v>
      </c>
      <c r="L90" s="50">
        <v>0</v>
      </c>
      <c r="M90" s="50">
        <v>0</v>
      </c>
      <c r="N90" s="50">
        <f t="shared" si="10"/>
        <v>0</v>
      </c>
      <c r="O90" s="50">
        <v>0</v>
      </c>
      <c r="P90" s="50">
        <v>0</v>
      </c>
      <c r="Q90" s="50">
        <v>0</v>
      </c>
      <c r="R90" s="50">
        <v>0</v>
      </c>
      <c r="S90" s="50">
        <f t="shared" si="11"/>
        <v>0</v>
      </c>
      <c r="T90" s="50">
        <v>0</v>
      </c>
      <c r="U90" s="50">
        <v>0</v>
      </c>
      <c r="V90" s="50">
        <f t="shared" si="12"/>
        <v>0</v>
      </c>
      <c r="W90" s="50">
        <v>0</v>
      </c>
      <c r="X90" s="50">
        <v>0</v>
      </c>
      <c r="Y90" s="42"/>
      <c r="Z90" s="42"/>
      <c r="AA90" s="43"/>
    </row>
    <row r="91" spans="1:27" ht="24" x14ac:dyDescent="0.25">
      <c r="A91" s="894">
        <v>73</v>
      </c>
      <c r="B91" s="897" t="s">
        <v>199</v>
      </c>
      <c r="C91" s="56" t="s">
        <v>200</v>
      </c>
      <c r="D91" s="50">
        <f t="shared" si="8"/>
        <v>28178</v>
      </c>
      <c r="E91" s="50">
        <v>496</v>
      </c>
      <c r="F91" s="50">
        <v>1</v>
      </c>
      <c r="G91" s="50">
        <v>626</v>
      </c>
      <c r="H91" s="50">
        <v>0</v>
      </c>
      <c r="I91" s="50">
        <v>425</v>
      </c>
      <c r="J91" s="50">
        <v>0</v>
      </c>
      <c r="K91" s="50">
        <f t="shared" si="9"/>
        <v>0</v>
      </c>
      <c r="L91" s="50">
        <v>0</v>
      </c>
      <c r="M91" s="50">
        <v>0</v>
      </c>
      <c r="N91" s="50">
        <f t="shared" si="10"/>
        <v>20535</v>
      </c>
      <c r="O91" s="50">
        <v>17473</v>
      </c>
      <c r="P91" s="50">
        <v>3062</v>
      </c>
      <c r="Q91" s="50">
        <v>0</v>
      </c>
      <c r="R91" s="50">
        <v>0</v>
      </c>
      <c r="S91" s="50">
        <f t="shared" si="11"/>
        <v>6095</v>
      </c>
      <c r="T91" s="50">
        <v>0</v>
      </c>
      <c r="U91" s="50">
        <v>590</v>
      </c>
      <c r="V91" s="50">
        <f t="shared" si="12"/>
        <v>5505</v>
      </c>
      <c r="W91" s="50">
        <v>0</v>
      </c>
      <c r="X91" s="50">
        <v>5505</v>
      </c>
      <c r="Y91" s="42"/>
      <c r="Z91" s="42"/>
      <c r="AA91" s="43"/>
    </row>
    <row r="92" spans="1:27" ht="36" x14ac:dyDescent="0.25">
      <c r="A92" s="895"/>
      <c r="B92" s="898"/>
      <c r="C92" s="49" t="s">
        <v>201</v>
      </c>
      <c r="D92" s="50">
        <f t="shared" si="8"/>
        <v>7643</v>
      </c>
      <c r="E92" s="50">
        <v>496</v>
      </c>
      <c r="F92" s="50">
        <v>1</v>
      </c>
      <c r="G92" s="50">
        <v>626</v>
      </c>
      <c r="H92" s="50">
        <v>0</v>
      </c>
      <c r="I92" s="50">
        <v>425</v>
      </c>
      <c r="J92" s="50">
        <v>0</v>
      </c>
      <c r="K92" s="50">
        <f t="shared" si="9"/>
        <v>0</v>
      </c>
      <c r="L92" s="50">
        <v>0</v>
      </c>
      <c r="M92" s="50">
        <v>0</v>
      </c>
      <c r="N92" s="50">
        <f t="shared" si="10"/>
        <v>0</v>
      </c>
      <c r="O92" s="50">
        <v>0</v>
      </c>
      <c r="P92" s="50">
        <v>0</v>
      </c>
      <c r="Q92" s="50">
        <v>0</v>
      </c>
      <c r="R92" s="50">
        <v>0</v>
      </c>
      <c r="S92" s="50">
        <f t="shared" si="11"/>
        <v>6095</v>
      </c>
      <c r="T92" s="50">
        <v>0</v>
      </c>
      <c r="U92" s="50">
        <v>590</v>
      </c>
      <c r="V92" s="50">
        <f t="shared" si="12"/>
        <v>5505</v>
      </c>
      <c r="W92" s="50">
        <v>0</v>
      </c>
      <c r="X92" s="50">
        <v>5505</v>
      </c>
      <c r="Y92" s="42"/>
      <c r="Z92" s="42"/>
      <c r="AA92" s="43"/>
    </row>
    <row r="93" spans="1:27" ht="24" x14ac:dyDescent="0.25">
      <c r="A93" s="895"/>
      <c r="B93" s="898"/>
      <c r="C93" s="49" t="s">
        <v>202</v>
      </c>
      <c r="D93" s="50">
        <f t="shared" si="8"/>
        <v>3062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f t="shared" si="9"/>
        <v>0</v>
      </c>
      <c r="L93" s="50">
        <v>0</v>
      </c>
      <c r="M93" s="50">
        <v>0</v>
      </c>
      <c r="N93" s="50">
        <f t="shared" si="10"/>
        <v>3062</v>
      </c>
      <c r="O93" s="50">
        <v>0</v>
      </c>
      <c r="P93" s="50">
        <v>3062</v>
      </c>
      <c r="Q93" s="50">
        <v>0</v>
      </c>
      <c r="R93" s="50">
        <v>0</v>
      </c>
      <c r="S93" s="50">
        <f t="shared" si="11"/>
        <v>0</v>
      </c>
      <c r="T93" s="50">
        <v>0</v>
      </c>
      <c r="U93" s="50">
        <v>0</v>
      </c>
      <c r="V93" s="50">
        <f t="shared" si="12"/>
        <v>0</v>
      </c>
      <c r="W93" s="50">
        <v>0</v>
      </c>
      <c r="X93" s="50">
        <v>0</v>
      </c>
      <c r="Y93" s="42"/>
      <c r="Z93" s="42"/>
      <c r="AA93" s="43"/>
    </row>
    <row r="94" spans="1:27" ht="36" x14ac:dyDescent="0.25">
      <c r="A94" s="896"/>
      <c r="B94" s="899"/>
      <c r="C94" s="57" t="s">
        <v>203</v>
      </c>
      <c r="D94" s="50">
        <f t="shared" si="8"/>
        <v>17473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f t="shared" si="9"/>
        <v>0</v>
      </c>
      <c r="L94" s="50">
        <v>0</v>
      </c>
      <c r="M94" s="50">
        <v>0</v>
      </c>
      <c r="N94" s="50">
        <f t="shared" si="10"/>
        <v>17473</v>
      </c>
      <c r="O94" s="50">
        <v>17473</v>
      </c>
      <c r="P94" s="50">
        <v>0</v>
      </c>
      <c r="Q94" s="50">
        <v>0</v>
      </c>
      <c r="R94" s="50">
        <v>0</v>
      </c>
      <c r="S94" s="50">
        <f t="shared" si="11"/>
        <v>0</v>
      </c>
      <c r="T94" s="50">
        <v>0</v>
      </c>
      <c r="U94" s="50">
        <v>0</v>
      </c>
      <c r="V94" s="50">
        <f t="shared" si="12"/>
        <v>0</v>
      </c>
      <c r="W94" s="50">
        <v>0</v>
      </c>
      <c r="X94" s="50">
        <v>0</v>
      </c>
      <c r="Y94" s="42"/>
      <c r="Z94" s="42"/>
      <c r="AA94" s="43"/>
    </row>
    <row r="95" spans="1:27" ht="24" x14ac:dyDescent="0.25">
      <c r="A95" s="47">
        <v>74</v>
      </c>
      <c r="B95" s="51" t="s">
        <v>204</v>
      </c>
      <c r="C95" s="49" t="s">
        <v>205</v>
      </c>
      <c r="D95" s="50">
        <f t="shared" si="8"/>
        <v>918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f t="shared" si="9"/>
        <v>0</v>
      </c>
      <c r="L95" s="50">
        <v>0</v>
      </c>
      <c r="M95" s="50">
        <v>0</v>
      </c>
      <c r="N95" s="50">
        <f t="shared" si="10"/>
        <v>918</v>
      </c>
      <c r="O95" s="50">
        <v>718</v>
      </c>
      <c r="P95" s="50">
        <v>200</v>
      </c>
      <c r="Q95" s="50">
        <v>0</v>
      </c>
      <c r="R95" s="50">
        <v>0</v>
      </c>
      <c r="S95" s="50">
        <f t="shared" si="11"/>
        <v>0</v>
      </c>
      <c r="T95" s="50">
        <v>0</v>
      </c>
      <c r="U95" s="50">
        <v>0</v>
      </c>
      <c r="V95" s="50">
        <f t="shared" si="12"/>
        <v>0</v>
      </c>
      <c r="W95" s="50">
        <v>0</v>
      </c>
      <c r="X95" s="50">
        <v>0</v>
      </c>
      <c r="Y95" s="42"/>
      <c r="Z95" s="42"/>
      <c r="AA95" s="43"/>
    </row>
    <row r="96" spans="1:27" x14ac:dyDescent="0.25">
      <c r="A96" s="47">
        <v>75</v>
      </c>
      <c r="B96" s="51" t="s">
        <v>206</v>
      </c>
      <c r="C96" s="49" t="s">
        <v>207</v>
      </c>
      <c r="D96" s="50">
        <f t="shared" si="8"/>
        <v>5338</v>
      </c>
      <c r="E96" s="50">
        <v>393</v>
      </c>
      <c r="F96" s="50">
        <v>0</v>
      </c>
      <c r="G96" s="50">
        <v>697</v>
      </c>
      <c r="H96" s="50">
        <v>0</v>
      </c>
      <c r="I96" s="50">
        <v>148</v>
      </c>
      <c r="J96" s="50">
        <v>0</v>
      </c>
      <c r="K96" s="50">
        <f t="shared" si="9"/>
        <v>0</v>
      </c>
      <c r="L96" s="50">
        <v>0</v>
      </c>
      <c r="M96" s="50">
        <v>0</v>
      </c>
      <c r="N96" s="50">
        <f t="shared" si="10"/>
        <v>0</v>
      </c>
      <c r="O96" s="50">
        <v>0</v>
      </c>
      <c r="P96" s="50">
        <v>0</v>
      </c>
      <c r="Q96" s="50">
        <v>0</v>
      </c>
      <c r="R96" s="50">
        <v>0</v>
      </c>
      <c r="S96" s="50">
        <f t="shared" si="11"/>
        <v>4100</v>
      </c>
      <c r="T96" s="50">
        <v>0</v>
      </c>
      <c r="U96" s="50">
        <v>500</v>
      </c>
      <c r="V96" s="50">
        <f t="shared" si="12"/>
        <v>3600</v>
      </c>
      <c r="W96" s="50">
        <v>470</v>
      </c>
      <c r="X96" s="50">
        <v>3130</v>
      </c>
      <c r="Y96" s="42"/>
      <c r="Z96" s="42"/>
      <c r="AA96" s="43"/>
    </row>
    <row r="97" spans="1:27" x14ac:dyDescent="0.25">
      <c r="A97" s="47">
        <v>76</v>
      </c>
      <c r="B97" s="166" t="s">
        <v>208</v>
      </c>
      <c r="C97" s="49" t="s">
        <v>209</v>
      </c>
      <c r="D97" s="50">
        <f t="shared" si="8"/>
        <v>34103</v>
      </c>
      <c r="E97" s="50">
        <v>2446</v>
      </c>
      <c r="F97" s="50">
        <v>188</v>
      </c>
      <c r="G97" s="50">
        <v>4336</v>
      </c>
      <c r="H97" s="50">
        <v>216</v>
      </c>
      <c r="I97" s="50">
        <v>1198</v>
      </c>
      <c r="J97" s="50">
        <v>0</v>
      </c>
      <c r="K97" s="50">
        <f t="shared" si="9"/>
        <v>0</v>
      </c>
      <c r="L97" s="50">
        <v>0</v>
      </c>
      <c r="M97" s="50">
        <v>0</v>
      </c>
      <c r="N97" s="50">
        <f t="shared" si="10"/>
        <v>0</v>
      </c>
      <c r="O97" s="50">
        <v>0</v>
      </c>
      <c r="P97" s="50">
        <v>0</v>
      </c>
      <c r="Q97" s="50">
        <v>0</v>
      </c>
      <c r="R97" s="50">
        <v>0</v>
      </c>
      <c r="S97" s="50">
        <f t="shared" si="11"/>
        <v>25719</v>
      </c>
      <c r="T97" s="50">
        <v>0</v>
      </c>
      <c r="U97" s="50">
        <v>1813</v>
      </c>
      <c r="V97" s="50">
        <f t="shared" si="12"/>
        <v>23906</v>
      </c>
      <c r="W97" s="50">
        <v>5810</v>
      </c>
      <c r="X97" s="50">
        <v>18096</v>
      </c>
      <c r="Y97" s="42"/>
      <c r="Z97" s="42"/>
      <c r="AA97" s="43"/>
    </row>
    <row r="98" spans="1:27" x14ac:dyDescent="0.25">
      <c r="A98" s="47">
        <v>77</v>
      </c>
      <c r="B98" s="51" t="s">
        <v>210</v>
      </c>
      <c r="C98" s="49" t="s">
        <v>211</v>
      </c>
      <c r="D98" s="50">
        <f t="shared" si="8"/>
        <v>20360</v>
      </c>
      <c r="E98" s="50">
        <v>1221</v>
      </c>
      <c r="F98" s="50">
        <v>1248</v>
      </c>
      <c r="G98" s="50">
        <v>1691</v>
      </c>
      <c r="H98" s="50">
        <v>3</v>
      </c>
      <c r="I98" s="50">
        <v>382</v>
      </c>
      <c r="J98" s="50">
        <v>0</v>
      </c>
      <c r="K98" s="50">
        <f t="shared" si="9"/>
        <v>550</v>
      </c>
      <c r="L98" s="50">
        <v>5</v>
      </c>
      <c r="M98" s="50">
        <v>545</v>
      </c>
      <c r="N98" s="50">
        <f t="shared" si="10"/>
        <v>0</v>
      </c>
      <c r="O98" s="50">
        <v>0</v>
      </c>
      <c r="P98" s="50">
        <v>0</v>
      </c>
      <c r="Q98" s="50">
        <v>0</v>
      </c>
      <c r="R98" s="50">
        <v>0</v>
      </c>
      <c r="S98" s="50">
        <f t="shared" si="11"/>
        <v>15265</v>
      </c>
      <c r="T98" s="50">
        <v>0</v>
      </c>
      <c r="U98" s="50">
        <v>710</v>
      </c>
      <c r="V98" s="50">
        <f t="shared" si="12"/>
        <v>14555</v>
      </c>
      <c r="W98" s="50">
        <v>3269</v>
      </c>
      <c r="X98" s="50">
        <v>11286</v>
      </c>
      <c r="Y98" s="42"/>
      <c r="Z98" s="42"/>
      <c r="AA98" s="43"/>
    </row>
    <row r="99" spans="1:27" x14ac:dyDescent="0.25">
      <c r="A99" s="47">
        <v>78</v>
      </c>
      <c r="B99" s="166" t="s">
        <v>212</v>
      </c>
      <c r="C99" s="49" t="s">
        <v>213</v>
      </c>
      <c r="D99" s="50">
        <f t="shared" si="8"/>
        <v>21116</v>
      </c>
      <c r="E99" s="50">
        <v>1293</v>
      </c>
      <c r="F99" s="50">
        <v>870</v>
      </c>
      <c r="G99" s="50">
        <v>1771</v>
      </c>
      <c r="H99" s="50">
        <v>18</v>
      </c>
      <c r="I99" s="50">
        <v>415</v>
      </c>
      <c r="J99" s="50">
        <v>0</v>
      </c>
      <c r="K99" s="50">
        <f t="shared" si="9"/>
        <v>792</v>
      </c>
      <c r="L99" s="50">
        <v>24</v>
      </c>
      <c r="M99" s="50">
        <v>768</v>
      </c>
      <c r="N99" s="50">
        <f t="shared" si="10"/>
        <v>0</v>
      </c>
      <c r="O99" s="50">
        <v>0</v>
      </c>
      <c r="P99" s="50">
        <v>0</v>
      </c>
      <c r="Q99" s="50">
        <v>0</v>
      </c>
      <c r="R99" s="50">
        <v>0</v>
      </c>
      <c r="S99" s="50">
        <f t="shared" si="11"/>
        <v>15957</v>
      </c>
      <c r="T99" s="50">
        <v>0</v>
      </c>
      <c r="U99" s="50">
        <v>784</v>
      </c>
      <c r="V99" s="50">
        <f t="shared" si="12"/>
        <v>15173</v>
      </c>
      <c r="W99" s="50">
        <v>3442</v>
      </c>
      <c r="X99" s="50">
        <v>11731</v>
      </c>
      <c r="Y99" s="42"/>
      <c r="Z99" s="42"/>
      <c r="AA99" s="43"/>
    </row>
    <row r="100" spans="1:27" x14ac:dyDescent="0.25">
      <c r="A100" s="47">
        <v>79</v>
      </c>
      <c r="B100" s="166" t="s">
        <v>214</v>
      </c>
      <c r="C100" s="49" t="s">
        <v>215</v>
      </c>
      <c r="D100" s="50">
        <f t="shared" si="8"/>
        <v>59360</v>
      </c>
      <c r="E100" s="50">
        <v>3692</v>
      </c>
      <c r="F100" s="50">
        <v>1531</v>
      </c>
      <c r="G100" s="50">
        <v>4964</v>
      </c>
      <c r="H100" s="50">
        <v>57</v>
      </c>
      <c r="I100" s="50">
        <v>1365</v>
      </c>
      <c r="J100" s="50">
        <v>0</v>
      </c>
      <c r="K100" s="50">
        <f t="shared" si="9"/>
        <v>2159</v>
      </c>
      <c r="L100" s="50">
        <v>10</v>
      </c>
      <c r="M100" s="50">
        <v>2149</v>
      </c>
      <c r="N100" s="50">
        <f t="shared" si="10"/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f t="shared" si="11"/>
        <v>45592</v>
      </c>
      <c r="T100" s="50">
        <v>0</v>
      </c>
      <c r="U100" s="50">
        <v>1462</v>
      </c>
      <c r="V100" s="50">
        <f t="shared" si="12"/>
        <v>44130</v>
      </c>
      <c r="W100" s="50">
        <v>10239</v>
      </c>
      <c r="X100" s="50">
        <v>33891</v>
      </c>
      <c r="Y100" s="42"/>
      <c r="Z100" s="42"/>
      <c r="AA100" s="43"/>
    </row>
    <row r="101" spans="1:27" x14ac:dyDescent="0.25">
      <c r="A101" s="47">
        <v>80</v>
      </c>
      <c r="B101" s="51" t="s">
        <v>216</v>
      </c>
      <c r="C101" s="49" t="s">
        <v>217</v>
      </c>
      <c r="D101" s="50">
        <f t="shared" si="8"/>
        <v>25004</v>
      </c>
      <c r="E101" s="50">
        <v>1510</v>
      </c>
      <c r="F101" s="50">
        <v>1364</v>
      </c>
      <c r="G101" s="50">
        <v>2091</v>
      </c>
      <c r="H101" s="50">
        <v>99</v>
      </c>
      <c r="I101" s="50">
        <v>463</v>
      </c>
      <c r="J101" s="50">
        <v>0</v>
      </c>
      <c r="K101" s="50">
        <f t="shared" si="9"/>
        <v>433</v>
      </c>
      <c r="L101" s="50">
        <v>0</v>
      </c>
      <c r="M101" s="50">
        <v>433</v>
      </c>
      <c r="N101" s="50">
        <f t="shared" si="10"/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f t="shared" si="11"/>
        <v>19044</v>
      </c>
      <c r="T101" s="50">
        <v>0</v>
      </c>
      <c r="U101" s="50">
        <v>683</v>
      </c>
      <c r="V101" s="50">
        <f t="shared" si="12"/>
        <v>18361</v>
      </c>
      <c r="W101" s="50">
        <v>4142</v>
      </c>
      <c r="X101" s="50">
        <v>14219</v>
      </c>
      <c r="Y101" s="42"/>
      <c r="Z101" s="42"/>
      <c r="AA101" s="43"/>
    </row>
    <row r="102" spans="1:27" x14ac:dyDescent="0.25">
      <c r="A102" s="47">
        <v>81</v>
      </c>
      <c r="B102" s="48" t="s">
        <v>218</v>
      </c>
      <c r="C102" s="49" t="s">
        <v>219</v>
      </c>
      <c r="D102" s="50">
        <f t="shared" si="8"/>
        <v>77827</v>
      </c>
      <c r="E102" s="50">
        <v>4832</v>
      </c>
      <c r="F102" s="50">
        <v>2173</v>
      </c>
      <c r="G102" s="50">
        <v>6078</v>
      </c>
      <c r="H102" s="50">
        <v>6</v>
      </c>
      <c r="I102" s="50">
        <v>1731</v>
      </c>
      <c r="J102" s="50">
        <v>0</v>
      </c>
      <c r="K102" s="50">
        <f t="shared" si="9"/>
        <v>865</v>
      </c>
      <c r="L102" s="50">
        <v>0</v>
      </c>
      <c r="M102" s="50">
        <v>865</v>
      </c>
      <c r="N102" s="50">
        <f t="shared" si="10"/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f t="shared" si="11"/>
        <v>62142</v>
      </c>
      <c r="T102" s="50">
        <v>100</v>
      </c>
      <c r="U102" s="50">
        <v>5710</v>
      </c>
      <c r="V102" s="50">
        <f t="shared" si="12"/>
        <v>56332</v>
      </c>
      <c r="W102" s="50">
        <v>12782</v>
      </c>
      <c r="X102" s="50">
        <v>43550</v>
      </c>
      <c r="Y102" s="42"/>
      <c r="Z102" s="42"/>
      <c r="AA102" s="43"/>
    </row>
    <row r="103" spans="1:27" x14ac:dyDescent="0.25">
      <c r="A103" s="47">
        <v>82</v>
      </c>
      <c r="B103" s="48" t="s">
        <v>220</v>
      </c>
      <c r="C103" s="49" t="s">
        <v>221</v>
      </c>
      <c r="D103" s="50">
        <f t="shared" si="8"/>
        <v>56706</v>
      </c>
      <c r="E103" s="50">
        <v>3447</v>
      </c>
      <c r="F103" s="50">
        <v>2727</v>
      </c>
      <c r="G103" s="50">
        <v>4683</v>
      </c>
      <c r="H103" s="50">
        <v>0</v>
      </c>
      <c r="I103" s="50">
        <v>1140</v>
      </c>
      <c r="J103" s="50">
        <v>0</v>
      </c>
      <c r="K103" s="50">
        <f t="shared" si="9"/>
        <v>1173</v>
      </c>
      <c r="L103" s="50">
        <v>3</v>
      </c>
      <c r="M103" s="50">
        <v>1170</v>
      </c>
      <c r="N103" s="50">
        <f t="shared" si="10"/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f t="shared" si="11"/>
        <v>43536</v>
      </c>
      <c r="T103" s="50">
        <v>300</v>
      </c>
      <c r="U103" s="50">
        <v>265</v>
      </c>
      <c r="V103" s="50">
        <f t="shared" si="12"/>
        <v>42971</v>
      </c>
      <c r="W103" s="50">
        <v>11476</v>
      </c>
      <c r="X103" s="50">
        <v>31495</v>
      </c>
      <c r="Y103" s="42"/>
      <c r="Z103" s="42"/>
      <c r="AA103" s="43"/>
    </row>
    <row r="104" spans="1:27" ht="12" customHeight="1" x14ac:dyDescent="0.25">
      <c r="A104" s="47">
        <v>83</v>
      </c>
      <c r="B104" s="166" t="s">
        <v>222</v>
      </c>
      <c r="C104" s="49" t="s">
        <v>223</v>
      </c>
      <c r="D104" s="50">
        <f t="shared" si="8"/>
        <v>19694</v>
      </c>
      <c r="E104" s="50">
        <v>1172</v>
      </c>
      <c r="F104" s="50">
        <v>1350</v>
      </c>
      <c r="G104" s="50">
        <v>1604</v>
      </c>
      <c r="H104" s="50">
        <v>0</v>
      </c>
      <c r="I104" s="50">
        <v>368</v>
      </c>
      <c r="J104" s="50">
        <v>0</v>
      </c>
      <c r="K104" s="50">
        <f t="shared" si="9"/>
        <v>370</v>
      </c>
      <c r="L104" s="50">
        <v>0</v>
      </c>
      <c r="M104" s="50">
        <v>370</v>
      </c>
      <c r="N104" s="50">
        <f t="shared" si="10"/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f t="shared" si="11"/>
        <v>14830</v>
      </c>
      <c r="T104" s="50">
        <v>0</v>
      </c>
      <c r="U104" s="50">
        <v>355</v>
      </c>
      <c r="V104" s="50">
        <f t="shared" si="12"/>
        <v>14475</v>
      </c>
      <c r="W104" s="50">
        <v>3197</v>
      </c>
      <c r="X104" s="50">
        <v>11278</v>
      </c>
      <c r="Y104" s="42"/>
      <c r="Z104" s="42"/>
      <c r="AA104" s="43"/>
    </row>
    <row r="105" spans="1:27" x14ac:dyDescent="0.25">
      <c r="A105" s="47">
        <v>84</v>
      </c>
      <c r="B105" s="48" t="s">
        <v>224</v>
      </c>
      <c r="C105" s="49" t="s">
        <v>225</v>
      </c>
      <c r="D105" s="50">
        <f t="shared" si="8"/>
        <v>30521</v>
      </c>
      <c r="E105" s="50">
        <v>1845</v>
      </c>
      <c r="F105" s="50">
        <v>1634</v>
      </c>
      <c r="G105" s="50">
        <v>2515</v>
      </c>
      <c r="H105" s="50">
        <v>0</v>
      </c>
      <c r="I105" s="50">
        <v>546</v>
      </c>
      <c r="J105" s="50">
        <v>0</v>
      </c>
      <c r="K105" s="50">
        <f t="shared" si="9"/>
        <v>1836</v>
      </c>
      <c r="L105" s="50">
        <v>37</v>
      </c>
      <c r="M105" s="50">
        <v>1799</v>
      </c>
      <c r="N105" s="50">
        <f t="shared" si="10"/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f t="shared" si="11"/>
        <v>22145</v>
      </c>
      <c r="T105" s="50">
        <v>0</v>
      </c>
      <c r="U105" s="50">
        <v>1802</v>
      </c>
      <c r="V105" s="50">
        <f t="shared" si="12"/>
        <v>20343</v>
      </c>
      <c r="W105" s="50">
        <v>5025</v>
      </c>
      <c r="X105" s="50">
        <v>15318</v>
      </c>
      <c r="Y105" s="42"/>
      <c r="Z105" s="42"/>
      <c r="AA105" s="43"/>
    </row>
    <row r="106" spans="1:27" x14ac:dyDescent="0.25">
      <c r="A106" s="47">
        <v>85</v>
      </c>
      <c r="B106" s="48" t="s">
        <v>226</v>
      </c>
      <c r="C106" s="49" t="s">
        <v>227</v>
      </c>
      <c r="D106" s="50">
        <f t="shared" si="8"/>
        <v>28889</v>
      </c>
      <c r="E106" s="50">
        <v>1755</v>
      </c>
      <c r="F106" s="50">
        <v>1397</v>
      </c>
      <c r="G106" s="50">
        <v>2375</v>
      </c>
      <c r="H106" s="50">
        <v>3</v>
      </c>
      <c r="I106" s="50">
        <v>558</v>
      </c>
      <c r="J106" s="50">
        <v>0</v>
      </c>
      <c r="K106" s="50">
        <f t="shared" si="9"/>
        <v>577</v>
      </c>
      <c r="L106" s="50">
        <v>0</v>
      </c>
      <c r="M106" s="50">
        <v>577</v>
      </c>
      <c r="N106" s="50">
        <f t="shared" si="10"/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f t="shared" si="11"/>
        <v>22224</v>
      </c>
      <c r="T106" s="50">
        <v>0</v>
      </c>
      <c r="U106" s="50">
        <v>585</v>
      </c>
      <c r="V106" s="50">
        <f t="shared" si="12"/>
        <v>21639</v>
      </c>
      <c r="W106" s="50">
        <v>4865</v>
      </c>
      <c r="X106" s="50">
        <v>16774</v>
      </c>
      <c r="Y106" s="42"/>
      <c r="Z106" s="42"/>
      <c r="AA106" s="43"/>
    </row>
    <row r="107" spans="1:27" x14ac:dyDescent="0.25">
      <c r="A107" s="47">
        <v>86</v>
      </c>
      <c r="B107" s="51" t="s">
        <v>32</v>
      </c>
      <c r="C107" s="49" t="s">
        <v>33</v>
      </c>
      <c r="D107" s="50">
        <f t="shared" si="8"/>
        <v>35014</v>
      </c>
      <c r="E107" s="50">
        <v>2168</v>
      </c>
      <c r="F107" s="50">
        <v>1040</v>
      </c>
      <c r="G107" s="50">
        <v>2875</v>
      </c>
      <c r="H107" s="50">
        <v>0</v>
      </c>
      <c r="I107" s="50">
        <v>728</v>
      </c>
      <c r="J107" s="50">
        <v>0</v>
      </c>
      <c r="K107" s="50">
        <f t="shared" si="9"/>
        <v>1048</v>
      </c>
      <c r="L107" s="50">
        <v>50</v>
      </c>
      <c r="M107" s="50">
        <v>998</v>
      </c>
      <c r="N107" s="50">
        <f t="shared" si="10"/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f t="shared" si="11"/>
        <v>27155</v>
      </c>
      <c r="T107" s="50">
        <v>0</v>
      </c>
      <c r="U107" s="50">
        <v>600</v>
      </c>
      <c r="V107" s="50">
        <f t="shared" si="12"/>
        <v>26555</v>
      </c>
      <c r="W107" s="50">
        <v>5772</v>
      </c>
      <c r="X107" s="50">
        <v>20783</v>
      </c>
      <c r="Y107" s="42"/>
      <c r="Z107" s="42"/>
      <c r="AA107" s="43"/>
    </row>
    <row r="108" spans="1:27" x14ac:dyDescent="0.25">
      <c r="A108" s="47">
        <v>87</v>
      </c>
      <c r="B108" s="166" t="s">
        <v>228</v>
      </c>
      <c r="C108" s="49" t="s">
        <v>229</v>
      </c>
      <c r="D108" s="50">
        <f t="shared" si="8"/>
        <v>22166</v>
      </c>
      <c r="E108" s="50">
        <v>1352</v>
      </c>
      <c r="F108" s="50">
        <v>992</v>
      </c>
      <c r="G108" s="50">
        <v>1841</v>
      </c>
      <c r="H108" s="50">
        <v>3</v>
      </c>
      <c r="I108" s="50">
        <v>422</v>
      </c>
      <c r="J108" s="50">
        <v>0</v>
      </c>
      <c r="K108" s="50">
        <f t="shared" si="9"/>
        <v>716</v>
      </c>
      <c r="L108" s="50">
        <v>1</v>
      </c>
      <c r="M108" s="50">
        <v>715</v>
      </c>
      <c r="N108" s="50">
        <f t="shared" si="10"/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f t="shared" si="11"/>
        <v>16840</v>
      </c>
      <c r="T108" s="50">
        <v>0</v>
      </c>
      <c r="U108" s="50">
        <v>970</v>
      </c>
      <c r="V108" s="50">
        <f t="shared" si="12"/>
        <v>15870</v>
      </c>
      <c r="W108" s="50">
        <v>3793</v>
      </c>
      <c r="X108" s="50">
        <v>12077</v>
      </c>
      <c r="Y108" s="42"/>
      <c r="Z108" s="42"/>
      <c r="AA108" s="43"/>
    </row>
    <row r="109" spans="1:27" x14ac:dyDescent="0.25">
      <c r="A109" s="47">
        <v>88</v>
      </c>
      <c r="B109" s="48" t="s">
        <v>230</v>
      </c>
      <c r="C109" s="49" t="s">
        <v>231</v>
      </c>
      <c r="D109" s="50">
        <f t="shared" si="8"/>
        <v>57476</v>
      </c>
      <c r="E109" s="50">
        <v>3513</v>
      </c>
      <c r="F109" s="50">
        <v>2482</v>
      </c>
      <c r="G109" s="50">
        <v>4869</v>
      </c>
      <c r="H109" s="50">
        <v>6</v>
      </c>
      <c r="I109" s="50">
        <v>1159</v>
      </c>
      <c r="J109" s="50">
        <v>0</v>
      </c>
      <c r="K109" s="50">
        <f t="shared" si="9"/>
        <v>2704</v>
      </c>
      <c r="L109" s="50">
        <v>0</v>
      </c>
      <c r="M109" s="50">
        <v>2704</v>
      </c>
      <c r="N109" s="50">
        <f t="shared" si="10"/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f t="shared" si="11"/>
        <v>42743</v>
      </c>
      <c r="T109" s="50">
        <v>0</v>
      </c>
      <c r="U109" s="50">
        <v>1910</v>
      </c>
      <c r="V109" s="50">
        <f t="shared" si="12"/>
        <v>40833</v>
      </c>
      <c r="W109" s="50">
        <v>9872</v>
      </c>
      <c r="X109" s="50">
        <v>30961</v>
      </c>
      <c r="Y109" s="42"/>
      <c r="Z109" s="42"/>
      <c r="AA109" s="43"/>
    </row>
    <row r="110" spans="1:27" ht="13.5" customHeight="1" x14ac:dyDescent="0.25">
      <c r="A110" s="47">
        <v>89</v>
      </c>
      <c r="B110" s="48" t="s">
        <v>232</v>
      </c>
      <c r="C110" s="49" t="s">
        <v>233</v>
      </c>
      <c r="D110" s="50">
        <f t="shared" si="8"/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f t="shared" si="9"/>
        <v>0</v>
      </c>
      <c r="L110" s="50">
        <v>0</v>
      </c>
      <c r="M110" s="50">
        <v>0</v>
      </c>
      <c r="N110" s="50">
        <f t="shared" si="10"/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f t="shared" si="11"/>
        <v>0</v>
      </c>
      <c r="T110" s="50">
        <v>0</v>
      </c>
      <c r="U110" s="50">
        <v>0</v>
      </c>
      <c r="V110" s="50">
        <f t="shared" si="12"/>
        <v>0</v>
      </c>
      <c r="W110" s="50">
        <v>0</v>
      </c>
      <c r="X110" s="50">
        <v>0</v>
      </c>
      <c r="Y110" s="42"/>
      <c r="Z110" s="42"/>
      <c r="AA110" s="43"/>
    </row>
    <row r="111" spans="1:27" x14ac:dyDescent="0.25">
      <c r="A111" s="47">
        <v>90</v>
      </c>
      <c r="B111" s="48" t="s">
        <v>234</v>
      </c>
      <c r="C111" s="49" t="s">
        <v>235</v>
      </c>
      <c r="D111" s="50">
        <f t="shared" si="8"/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f t="shared" si="9"/>
        <v>0</v>
      </c>
      <c r="L111" s="50">
        <v>0</v>
      </c>
      <c r="M111" s="50">
        <v>0</v>
      </c>
      <c r="N111" s="50">
        <f t="shared" si="10"/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f t="shared" si="11"/>
        <v>0</v>
      </c>
      <c r="T111" s="50">
        <v>0</v>
      </c>
      <c r="U111" s="50">
        <v>0</v>
      </c>
      <c r="V111" s="50">
        <f t="shared" si="12"/>
        <v>0</v>
      </c>
      <c r="W111" s="50">
        <v>0</v>
      </c>
      <c r="X111" s="50">
        <v>0</v>
      </c>
      <c r="Y111" s="42"/>
      <c r="Z111" s="42"/>
      <c r="AA111" s="43"/>
    </row>
    <row r="112" spans="1:27" x14ac:dyDescent="0.25">
      <c r="A112" s="47">
        <v>91</v>
      </c>
      <c r="B112" s="166" t="s">
        <v>236</v>
      </c>
      <c r="C112" s="49" t="s">
        <v>237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f t="shared" si="9"/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f t="shared" si="11"/>
        <v>0</v>
      </c>
      <c r="T112" s="50">
        <v>0</v>
      </c>
      <c r="U112" s="50">
        <v>0</v>
      </c>
      <c r="V112" s="50">
        <f t="shared" si="12"/>
        <v>0</v>
      </c>
      <c r="W112" s="50">
        <v>0</v>
      </c>
      <c r="X112" s="50">
        <v>0</v>
      </c>
      <c r="Y112" s="42"/>
      <c r="Z112" s="42"/>
      <c r="AA112" s="43"/>
    </row>
    <row r="113" spans="1:27" ht="12.75" customHeight="1" x14ac:dyDescent="0.25">
      <c r="A113" s="47">
        <v>92</v>
      </c>
      <c r="B113" s="166" t="s">
        <v>238</v>
      </c>
      <c r="C113" s="49" t="s">
        <v>239</v>
      </c>
      <c r="D113" s="50">
        <f t="shared" si="8"/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f t="shared" si="9"/>
        <v>0</v>
      </c>
      <c r="L113" s="50">
        <v>0</v>
      </c>
      <c r="M113" s="50">
        <v>0</v>
      </c>
      <c r="N113" s="50">
        <f t="shared" si="10"/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f t="shared" si="11"/>
        <v>0</v>
      </c>
      <c r="T113" s="50">
        <v>0</v>
      </c>
      <c r="U113" s="50">
        <v>0</v>
      </c>
      <c r="V113" s="50">
        <f t="shared" si="12"/>
        <v>0</v>
      </c>
      <c r="W113" s="50">
        <v>0</v>
      </c>
      <c r="X113" s="50">
        <v>0</v>
      </c>
      <c r="Y113" s="42"/>
      <c r="Z113" s="42"/>
      <c r="AA113" s="43"/>
    </row>
    <row r="114" spans="1:27" ht="24" x14ac:dyDescent="0.25">
      <c r="A114" s="47">
        <v>93</v>
      </c>
      <c r="B114" s="166" t="s">
        <v>240</v>
      </c>
      <c r="C114" s="49" t="s">
        <v>241</v>
      </c>
      <c r="D114" s="50">
        <f t="shared" si="8"/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f t="shared" si="9"/>
        <v>0</v>
      </c>
      <c r="L114" s="50">
        <v>0</v>
      </c>
      <c r="M114" s="50">
        <v>0</v>
      </c>
      <c r="N114" s="50">
        <f t="shared" si="10"/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f t="shared" si="11"/>
        <v>0</v>
      </c>
      <c r="T114" s="50">
        <v>0</v>
      </c>
      <c r="U114" s="50">
        <v>0</v>
      </c>
      <c r="V114" s="50">
        <f t="shared" si="12"/>
        <v>0</v>
      </c>
      <c r="W114" s="50">
        <v>0</v>
      </c>
      <c r="X114" s="50">
        <v>0</v>
      </c>
      <c r="Y114" s="42"/>
      <c r="Z114" s="42"/>
      <c r="AA114" s="43"/>
    </row>
    <row r="115" spans="1:27" x14ac:dyDescent="0.25">
      <c r="A115" s="47">
        <v>94</v>
      </c>
      <c r="B115" s="166" t="s">
        <v>242</v>
      </c>
      <c r="C115" s="49" t="s">
        <v>243</v>
      </c>
      <c r="D115" s="50">
        <f t="shared" si="8"/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f t="shared" si="9"/>
        <v>0</v>
      </c>
      <c r="L115" s="50">
        <v>0</v>
      </c>
      <c r="M115" s="50">
        <v>0</v>
      </c>
      <c r="N115" s="50">
        <f t="shared" si="10"/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f t="shared" si="11"/>
        <v>0</v>
      </c>
      <c r="T115" s="50">
        <v>0</v>
      </c>
      <c r="U115" s="50">
        <v>0</v>
      </c>
      <c r="V115" s="50">
        <f t="shared" si="12"/>
        <v>0</v>
      </c>
      <c r="W115" s="50">
        <v>0</v>
      </c>
      <c r="X115" s="50">
        <v>0</v>
      </c>
      <c r="Y115" s="42"/>
      <c r="Z115" s="42"/>
      <c r="AA115" s="43"/>
    </row>
    <row r="116" spans="1:27" x14ac:dyDescent="0.25">
      <c r="A116" s="47">
        <v>95</v>
      </c>
      <c r="B116" s="166" t="s">
        <v>244</v>
      </c>
      <c r="C116" s="49" t="s">
        <v>245</v>
      </c>
      <c r="D116" s="50">
        <f t="shared" si="8"/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f t="shared" si="9"/>
        <v>0</v>
      </c>
      <c r="L116" s="50">
        <v>0</v>
      </c>
      <c r="M116" s="50">
        <v>0</v>
      </c>
      <c r="N116" s="50">
        <f t="shared" si="10"/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f t="shared" si="11"/>
        <v>0</v>
      </c>
      <c r="T116" s="50">
        <v>0</v>
      </c>
      <c r="U116" s="50">
        <v>0</v>
      </c>
      <c r="V116" s="50">
        <f t="shared" si="12"/>
        <v>0</v>
      </c>
      <c r="W116" s="50">
        <v>0</v>
      </c>
      <c r="X116" s="50">
        <v>0</v>
      </c>
      <c r="Y116" s="42"/>
      <c r="Z116" s="42"/>
      <c r="AA116" s="43"/>
    </row>
    <row r="117" spans="1:27" x14ac:dyDescent="0.25">
      <c r="A117" s="47">
        <v>96</v>
      </c>
      <c r="B117" s="58" t="s">
        <v>246</v>
      </c>
      <c r="C117" s="55" t="s">
        <v>247</v>
      </c>
      <c r="D117" s="50">
        <f t="shared" si="8"/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f t="shared" si="9"/>
        <v>0</v>
      </c>
      <c r="L117" s="50">
        <v>0</v>
      </c>
      <c r="M117" s="50">
        <v>0</v>
      </c>
      <c r="N117" s="50">
        <f t="shared" si="10"/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f t="shared" si="11"/>
        <v>0</v>
      </c>
      <c r="T117" s="50">
        <v>0</v>
      </c>
      <c r="U117" s="50">
        <v>0</v>
      </c>
      <c r="V117" s="50">
        <f t="shared" si="12"/>
        <v>0</v>
      </c>
      <c r="W117" s="50">
        <v>0</v>
      </c>
      <c r="X117" s="50">
        <v>0</v>
      </c>
      <c r="Y117" s="42"/>
      <c r="Z117" s="42"/>
      <c r="AA117" s="43"/>
    </row>
    <row r="118" spans="1:27" x14ac:dyDescent="0.25">
      <c r="A118" s="47">
        <v>97</v>
      </c>
      <c r="B118" s="51" t="s">
        <v>248</v>
      </c>
      <c r="C118" s="49" t="s">
        <v>249</v>
      </c>
      <c r="D118" s="50">
        <f t="shared" si="8"/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f t="shared" si="9"/>
        <v>0</v>
      </c>
      <c r="L118" s="50">
        <v>0</v>
      </c>
      <c r="M118" s="50">
        <v>0</v>
      </c>
      <c r="N118" s="50">
        <f t="shared" si="10"/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f t="shared" si="11"/>
        <v>0</v>
      </c>
      <c r="T118" s="50">
        <v>0</v>
      </c>
      <c r="U118" s="50">
        <v>0</v>
      </c>
      <c r="V118" s="50">
        <f t="shared" si="12"/>
        <v>0</v>
      </c>
      <c r="W118" s="50">
        <v>0</v>
      </c>
      <c r="X118" s="50">
        <v>0</v>
      </c>
      <c r="Y118" s="42"/>
      <c r="Z118" s="42"/>
      <c r="AA118" s="43"/>
    </row>
    <row r="119" spans="1:27" ht="11.25" customHeight="1" x14ac:dyDescent="0.25">
      <c r="A119" s="47">
        <v>98</v>
      </c>
      <c r="B119" s="166" t="s">
        <v>250</v>
      </c>
      <c r="C119" s="49" t="s">
        <v>251</v>
      </c>
      <c r="D119" s="50">
        <f t="shared" si="8"/>
        <v>16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f t="shared" si="9"/>
        <v>0</v>
      </c>
      <c r="L119" s="50">
        <v>0</v>
      </c>
      <c r="M119" s="50">
        <v>0</v>
      </c>
      <c r="N119" s="50">
        <f t="shared" si="10"/>
        <v>16</v>
      </c>
      <c r="O119" s="50">
        <v>16</v>
      </c>
      <c r="P119" s="50">
        <v>0</v>
      </c>
      <c r="Q119" s="50">
        <v>0</v>
      </c>
      <c r="R119" s="50">
        <v>0</v>
      </c>
      <c r="S119" s="50">
        <f t="shared" si="11"/>
        <v>0</v>
      </c>
      <c r="T119" s="50">
        <v>0</v>
      </c>
      <c r="U119" s="50">
        <v>0</v>
      </c>
      <c r="V119" s="50">
        <f t="shared" si="12"/>
        <v>0</v>
      </c>
      <c r="W119" s="50">
        <v>0</v>
      </c>
      <c r="X119" s="50">
        <v>0</v>
      </c>
      <c r="Y119" s="42"/>
      <c r="Z119" s="42"/>
      <c r="AA119" s="43"/>
    </row>
    <row r="120" spans="1:27" x14ac:dyDescent="0.25">
      <c r="A120" s="47">
        <v>99</v>
      </c>
      <c r="B120" s="48" t="s">
        <v>252</v>
      </c>
      <c r="C120" s="59" t="s">
        <v>253</v>
      </c>
      <c r="D120" s="50">
        <f t="shared" si="8"/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f t="shared" si="9"/>
        <v>0</v>
      </c>
      <c r="L120" s="50">
        <v>0</v>
      </c>
      <c r="M120" s="50">
        <v>0</v>
      </c>
      <c r="N120" s="50">
        <f t="shared" si="10"/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f t="shared" si="11"/>
        <v>0</v>
      </c>
      <c r="T120" s="50">
        <v>0</v>
      </c>
      <c r="U120" s="50">
        <v>0</v>
      </c>
      <c r="V120" s="50">
        <f t="shared" si="12"/>
        <v>0</v>
      </c>
      <c r="W120" s="50">
        <v>0</v>
      </c>
      <c r="X120" s="50">
        <v>0</v>
      </c>
      <c r="Y120" s="42"/>
      <c r="Z120" s="42"/>
      <c r="AA120" s="43"/>
    </row>
    <row r="121" spans="1:27" x14ac:dyDescent="0.25">
      <c r="A121" s="47">
        <v>100</v>
      </c>
      <c r="B121" s="166" t="s">
        <v>254</v>
      </c>
      <c r="C121" s="49" t="s">
        <v>255</v>
      </c>
      <c r="D121" s="50">
        <f t="shared" si="8"/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f t="shared" si="9"/>
        <v>0</v>
      </c>
      <c r="L121" s="50">
        <v>0</v>
      </c>
      <c r="M121" s="50">
        <v>0</v>
      </c>
      <c r="N121" s="50">
        <f t="shared" si="10"/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f t="shared" si="11"/>
        <v>0</v>
      </c>
      <c r="T121" s="50">
        <v>0</v>
      </c>
      <c r="U121" s="50">
        <v>0</v>
      </c>
      <c r="V121" s="50">
        <f t="shared" si="12"/>
        <v>0</v>
      </c>
      <c r="W121" s="50">
        <v>0</v>
      </c>
      <c r="X121" s="50">
        <v>0</v>
      </c>
      <c r="Y121" s="42"/>
      <c r="Z121" s="42"/>
      <c r="AA121" s="43"/>
    </row>
    <row r="122" spans="1:27" ht="14.25" customHeight="1" x14ac:dyDescent="0.25">
      <c r="A122" s="47">
        <v>101</v>
      </c>
      <c r="B122" s="51" t="s">
        <v>256</v>
      </c>
      <c r="C122" s="49" t="s">
        <v>257</v>
      </c>
      <c r="D122" s="50">
        <f t="shared" si="8"/>
        <v>68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f t="shared" si="9"/>
        <v>0</v>
      </c>
      <c r="L122" s="50">
        <v>0</v>
      </c>
      <c r="M122" s="50">
        <v>0</v>
      </c>
      <c r="N122" s="50">
        <f t="shared" si="10"/>
        <v>68</v>
      </c>
      <c r="O122" s="50">
        <v>59</v>
      </c>
      <c r="P122" s="50">
        <v>9</v>
      </c>
      <c r="Q122" s="50">
        <v>0</v>
      </c>
      <c r="R122" s="50">
        <v>0</v>
      </c>
      <c r="S122" s="50">
        <f t="shared" si="11"/>
        <v>0</v>
      </c>
      <c r="T122" s="50">
        <v>0</v>
      </c>
      <c r="U122" s="50">
        <v>0</v>
      </c>
      <c r="V122" s="50">
        <f t="shared" si="12"/>
        <v>0</v>
      </c>
      <c r="W122" s="50">
        <v>0</v>
      </c>
      <c r="X122" s="50">
        <v>0</v>
      </c>
      <c r="Y122" s="42"/>
      <c r="Z122" s="42"/>
      <c r="AA122" s="43"/>
    </row>
    <row r="123" spans="1:27" x14ac:dyDescent="0.25">
      <c r="A123" s="47">
        <v>102</v>
      </c>
      <c r="B123" s="48" t="s">
        <v>258</v>
      </c>
      <c r="C123" s="49" t="s">
        <v>259</v>
      </c>
      <c r="D123" s="50">
        <f t="shared" si="8"/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f t="shared" si="9"/>
        <v>0</v>
      </c>
      <c r="L123" s="50">
        <v>0</v>
      </c>
      <c r="M123" s="50">
        <v>0</v>
      </c>
      <c r="N123" s="50">
        <f t="shared" si="10"/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f t="shared" si="11"/>
        <v>0</v>
      </c>
      <c r="T123" s="50">
        <v>0</v>
      </c>
      <c r="U123" s="50">
        <v>0</v>
      </c>
      <c r="V123" s="50">
        <f t="shared" si="12"/>
        <v>0</v>
      </c>
      <c r="W123" s="50">
        <v>0</v>
      </c>
      <c r="X123" s="50">
        <v>0</v>
      </c>
      <c r="Y123" s="42"/>
      <c r="Z123" s="42"/>
      <c r="AA123" s="43"/>
    </row>
    <row r="124" spans="1:27" x14ac:dyDescent="0.25">
      <c r="A124" s="47">
        <v>103</v>
      </c>
      <c r="B124" s="51" t="s">
        <v>542</v>
      </c>
      <c r="C124" s="49" t="s">
        <v>543</v>
      </c>
      <c r="D124" s="50">
        <f t="shared" si="8"/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f t="shared" si="9"/>
        <v>0</v>
      </c>
      <c r="L124" s="50">
        <v>0</v>
      </c>
      <c r="M124" s="50">
        <v>0</v>
      </c>
      <c r="N124" s="50">
        <f t="shared" si="10"/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f t="shared" si="11"/>
        <v>0</v>
      </c>
      <c r="T124" s="50">
        <v>0</v>
      </c>
      <c r="U124" s="50">
        <v>0</v>
      </c>
      <c r="V124" s="50">
        <f t="shared" si="12"/>
        <v>0</v>
      </c>
      <c r="W124" s="50">
        <v>0</v>
      </c>
      <c r="X124" s="50">
        <v>0</v>
      </c>
      <c r="Y124" s="42"/>
      <c r="Z124" s="42"/>
      <c r="AA124" s="43"/>
    </row>
    <row r="125" spans="1:27" ht="13.5" customHeight="1" x14ac:dyDescent="0.25">
      <c r="A125" s="47">
        <v>104</v>
      </c>
      <c r="B125" s="51" t="s">
        <v>260</v>
      </c>
      <c r="C125" s="49" t="s">
        <v>261</v>
      </c>
      <c r="D125" s="50">
        <f t="shared" si="8"/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f t="shared" si="9"/>
        <v>0</v>
      </c>
      <c r="L125" s="50">
        <v>0</v>
      </c>
      <c r="M125" s="50">
        <v>0</v>
      </c>
      <c r="N125" s="50">
        <f t="shared" si="10"/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f t="shared" si="11"/>
        <v>0</v>
      </c>
      <c r="T125" s="50">
        <v>0</v>
      </c>
      <c r="U125" s="50">
        <v>0</v>
      </c>
      <c r="V125" s="50">
        <f t="shared" si="12"/>
        <v>0</v>
      </c>
      <c r="W125" s="50">
        <v>0</v>
      </c>
      <c r="X125" s="50">
        <v>0</v>
      </c>
      <c r="Y125" s="42"/>
      <c r="Z125" s="42"/>
      <c r="AA125" s="43"/>
    </row>
    <row r="126" spans="1:27" x14ac:dyDescent="0.25">
      <c r="A126" s="47">
        <v>105</v>
      </c>
      <c r="B126" s="166" t="s">
        <v>262</v>
      </c>
      <c r="C126" s="49" t="s">
        <v>263</v>
      </c>
      <c r="D126" s="50">
        <f t="shared" si="8"/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f t="shared" si="9"/>
        <v>0</v>
      </c>
      <c r="L126" s="50">
        <v>0</v>
      </c>
      <c r="M126" s="50">
        <v>0</v>
      </c>
      <c r="N126" s="50">
        <f t="shared" si="10"/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f t="shared" si="11"/>
        <v>0</v>
      </c>
      <c r="T126" s="50">
        <v>0</v>
      </c>
      <c r="U126" s="50">
        <v>0</v>
      </c>
      <c r="V126" s="50">
        <f t="shared" si="12"/>
        <v>0</v>
      </c>
      <c r="W126" s="50">
        <v>0</v>
      </c>
      <c r="X126" s="50">
        <v>0</v>
      </c>
      <c r="Y126" s="42"/>
      <c r="Z126" s="42"/>
      <c r="AA126" s="43"/>
    </row>
    <row r="127" spans="1:27" ht="24" x14ac:dyDescent="0.25">
      <c r="A127" s="47">
        <v>106</v>
      </c>
      <c r="B127" s="166" t="s">
        <v>264</v>
      </c>
      <c r="C127" s="53" t="s">
        <v>265</v>
      </c>
      <c r="D127" s="50">
        <f t="shared" si="8"/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f t="shared" si="9"/>
        <v>0</v>
      </c>
      <c r="L127" s="50">
        <v>0</v>
      </c>
      <c r="M127" s="50">
        <v>0</v>
      </c>
      <c r="N127" s="50">
        <f t="shared" si="10"/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f t="shared" si="11"/>
        <v>0</v>
      </c>
      <c r="T127" s="50">
        <v>0</v>
      </c>
      <c r="U127" s="50">
        <v>0</v>
      </c>
      <c r="V127" s="50">
        <f t="shared" si="12"/>
        <v>0</v>
      </c>
      <c r="W127" s="50">
        <v>0</v>
      </c>
      <c r="X127" s="50">
        <v>0</v>
      </c>
      <c r="Y127" s="42"/>
      <c r="Z127" s="42"/>
      <c r="AA127" s="43"/>
    </row>
    <row r="128" spans="1:27" x14ac:dyDescent="0.25">
      <c r="A128" s="47">
        <v>107</v>
      </c>
      <c r="B128" s="166" t="s">
        <v>266</v>
      </c>
      <c r="C128" s="49" t="s">
        <v>267</v>
      </c>
      <c r="D128" s="50">
        <f t="shared" si="8"/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f t="shared" si="9"/>
        <v>0</v>
      </c>
      <c r="L128" s="50">
        <v>0</v>
      </c>
      <c r="M128" s="50">
        <v>0</v>
      </c>
      <c r="N128" s="50">
        <f t="shared" si="10"/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f t="shared" si="11"/>
        <v>0</v>
      </c>
      <c r="T128" s="50">
        <v>0</v>
      </c>
      <c r="U128" s="50">
        <v>0</v>
      </c>
      <c r="V128" s="50">
        <f t="shared" si="12"/>
        <v>0</v>
      </c>
      <c r="W128" s="50">
        <v>0</v>
      </c>
      <c r="X128" s="50">
        <v>0</v>
      </c>
      <c r="Y128" s="42"/>
      <c r="Z128" s="42"/>
      <c r="AA128" s="43"/>
    </row>
    <row r="129" spans="1:27" ht="10.5" customHeight="1" x14ac:dyDescent="0.25">
      <c r="A129" s="47">
        <v>108</v>
      </c>
      <c r="B129" s="166" t="s">
        <v>268</v>
      </c>
      <c r="C129" s="49" t="s">
        <v>269</v>
      </c>
      <c r="D129" s="50">
        <f t="shared" si="8"/>
        <v>27280</v>
      </c>
      <c r="E129" s="50">
        <v>0</v>
      </c>
      <c r="F129" s="50">
        <v>0</v>
      </c>
      <c r="G129" s="50">
        <v>0</v>
      </c>
      <c r="H129" s="50">
        <v>0</v>
      </c>
      <c r="I129" s="50">
        <v>0</v>
      </c>
      <c r="J129" s="50">
        <v>27280</v>
      </c>
      <c r="K129" s="50">
        <f t="shared" si="9"/>
        <v>0</v>
      </c>
      <c r="L129" s="50">
        <v>0</v>
      </c>
      <c r="M129" s="50">
        <v>0</v>
      </c>
      <c r="N129" s="50">
        <f t="shared" si="10"/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f t="shared" si="11"/>
        <v>0</v>
      </c>
      <c r="T129" s="50">
        <v>0</v>
      </c>
      <c r="U129" s="50">
        <v>0</v>
      </c>
      <c r="V129" s="50">
        <f t="shared" si="12"/>
        <v>0</v>
      </c>
      <c r="W129" s="50">
        <v>0</v>
      </c>
      <c r="X129" s="50">
        <v>0</v>
      </c>
      <c r="Y129" s="42"/>
      <c r="Z129" s="42"/>
      <c r="AA129" s="43"/>
    </row>
    <row r="130" spans="1:27" x14ac:dyDescent="0.25">
      <c r="A130" s="47">
        <v>109</v>
      </c>
      <c r="B130" s="166" t="s">
        <v>270</v>
      </c>
      <c r="C130" s="49" t="s">
        <v>271</v>
      </c>
      <c r="D130" s="50">
        <f t="shared" si="8"/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f t="shared" si="9"/>
        <v>0</v>
      </c>
      <c r="L130" s="50">
        <v>0</v>
      </c>
      <c r="M130" s="50">
        <v>0</v>
      </c>
      <c r="N130" s="50">
        <f t="shared" si="10"/>
        <v>0</v>
      </c>
      <c r="O130" s="50">
        <v>0</v>
      </c>
      <c r="P130" s="50">
        <v>0</v>
      </c>
      <c r="Q130" s="50">
        <v>0</v>
      </c>
      <c r="R130" s="50">
        <v>0</v>
      </c>
      <c r="S130" s="50">
        <f t="shared" si="11"/>
        <v>0</v>
      </c>
      <c r="T130" s="50">
        <v>0</v>
      </c>
      <c r="U130" s="50">
        <v>0</v>
      </c>
      <c r="V130" s="50">
        <f t="shared" si="12"/>
        <v>0</v>
      </c>
      <c r="W130" s="50">
        <v>0</v>
      </c>
      <c r="X130" s="50">
        <v>0</v>
      </c>
      <c r="Y130" s="42"/>
      <c r="Z130" s="42"/>
      <c r="AA130" s="43"/>
    </row>
    <row r="131" spans="1:27" x14ac:dyDescent="0.25">
      <c r="A131" s="47">
        <v>110</v>
      </c>
      <c r="B131" s="48" t="s">
        <v>272</v>
      </c>
      <c r="C131" s="49" t="s">
        <v>273</v>
      </c>
      <c r="D131" s="50">
        <f t="shared" si="8"/>
        <v>6594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f t="shared" si="9"/>
        <v>0</v>
      </c>
      <c r="L131" s="50">
        <v>0</v>
      </c>
      <c r="M131" s="50">
        <v>0</v>
      </c>
      <c r="N131" s="50">
        <f t="shared" si="10"/>
        <v>0</v>
      </c>
      <c r="O131" s="50">
        <v>0</v>
      </c>
      <c r="P131" s="50">
        <v>0</v>
      </c>
      <c r="Q131" s="50">
        <v>0</v>
      </c>
      <c r="R131" s="50">
        <v>6594</v>
      </c>
      <c r="S131" s="50">
        <f t="shared" si="11"/>
        <v>0</v>
      </c>
      <c r="T131" s="50">
        <v>0</v>
      </c>
      <c r="U131" s="50">
        <v>0</v>
      </c>
      <c r="V131" s="50">
        <f t="shared" si="12"/>
        <v>0</v>
      </c>
      <c r="W131" s="50">
        <v>0</v>
      </c>
      <c r="X131" s="50">
        <v>0</v>
      </c>
      <c r="Y131" s="42"/>
      <c r="Z131" s="42"/>
      <c r="AA131" s="43"/>
    </row>
    <row r="132" spans="1:27" x14ac:dyDescent="0.25">
      <c r="A132" s="47">
        <v>111</v>
      </c>
      <c r="B132" s="48" t="s">
        <v>274</v>
      </c>
      <c r="C132" s="49" t="s">
        <v>275</v>
      </c>
      <c r="D132" s="50">
        <f t="shared" si="8"/>
        <v>37416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f t="shared" si="9"/>
        <v>0</v>
      </c>
      <c r="L132" s="50">
        <v>0</v>
      </c>
      <c r="M132" s="50">
        <v>0</v>
      </c>
      <c r="N132" s="50">
        <f t="shared" si="10"/>
        <v>37416</v>
      </c>
      <c r="O132" s="50">
        <v>37416</v>
      </c>
      <c r="P132" s="50">
        <v>0</v>
      </c>
      <c r="Q132" s="50">
        <v>0</v>
      </c>
      <c r="R132" s="50">
        <v>0</v>
      </c>
      <c r="S132" s="50">
        <f t="shared" si="11"/>
        <v>0</v>
      </c>
      <c r="T132" s="50">
        <v>0</v>
      </c>
      <c r="U132" s="50">
        <v>0</v>
      </c>
      <c r="V132" s="50">
        <f t="shared" si="12"/>
        <v>0</v>
      </c>
      <c r="W132" s="50">
        <v>0</v>
      </c>
      <c r="X132" s="50">
        <v>0</v>
      </c>
      <c r="Y132" s="42"/>
      <c r="Z132" s="42"/>
      <c r="AA132" s="43"/>
    </row>
    <row r="133" spans="1:27" x14ac:dyDescent="0.25">
      <c r="A133" s="47">
        <v>112</v>
      </c>
      <c r="B133" s="48" t="s">
        <v>276</v>
      </c>
      <c r="C133" s="49" t="s">
        <v>277</v>
      </c>
      <c r="D133" s="50">
        <f t="shared" si="8"/>
        <v>23534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f t="shared" si="9"/>
        <v>0</v>
      </c>
      <c r="L133" s="50">
        <v>0</v>
      </c>
      <c r="M133" s="50">
        <v>0</v>
      </c>
      <c r="N133" s="50">
        <f t="shared" si="10"/>
        <v>23534</v>
      </c>
      <c r="O133" s="50">
        <v>23534</v>
      </c>
      <c r="P133" s="50">
        <v>0</v>
      </c>
      <c r="Q133" s="50">
        <v>0</v>
      </c>
      <c r="R133" s="50">
        <v>0</v>
      </c>
      <c r="S133" s="50">
        <f t="shared" si="11"/>
        <v>0</v>
      </c>
      <c r="T133" s="50">
        <v>0</v>
      </c>
      <c r="U133" s="50">
        <v>0</v>
      </c>
      <c r="V133" s="50">
        <f t="shared" si="12"/>
        <v>0</v>
      </c>
      <c r="W133" s="50">
        <v>0</v>
      </c>
      <c r="X133" s="50">
        <v>0</v>
      </c>
      <c r="Y133" s="42"/>
      <c r="Z133" s="42"/>
      <c r="AA133" s="43"/>
    </row>
    <row r="134" spans="1:27" x14ac:dyDescent="0.25">
      <c r="A134" s="47">
        <v>113</v>
      </c>
      <c r="B134" s="166" t="s">
        <v>278</v>
      </c>
      <c r="C134" s="49" t="s">
        <v>279</v>
      </c>
      <c r="D134" s="50">
        <f t="shared" si="8"/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f t="shared" si="9"/>
        <v>0</v>
      </c>
      <c r="L134" s="50">
        <v>0</v>
      </c>
      <c r="M134" s="50">
        <v>0</v>
      </c>
      <c r="N134" s="50">
        <f t="shared" si="10"/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f t="shared" si="11"/>
        <v>0</v>
      </c>
      <c r="T134" s="50">
        <v>0</v>
      </c>
      <c r="U134" s="50">
        <v>0</v>
      </c>
      <c r="V134" s="50">
        <f t="shared" si="12"/>
        <v>0</v>
      </c>
      <c r="W134" s="50">
        <v>0</v>
      </c>
      <c r="X134" s="50">
        <v>0</v>
      </c>
      <c r="Y134" s="42"/>
      <c r="Z134" s="42"/>
      <c r="AA134" s="43"/>
    </row>
    <row r="135" spans="1:27" x14ac:dyDescent="0.25">
      <c r="A135" s="47">
        <v>114</v>
      </c>
      <c r="B135" s="166" t="s">
        <v>280</v>
      </c>
      <c r="C135" s="49" t="s">
        <v>281</v>
      </c>
      <c r="D135" s="50">
        <f t="shared" si="8"/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f t="shared" si="9"/>
        <v>0</v>
      </c>
      <c r="L135" s="50">
        <v>0</v>
      </c>
      <c r="M135" s="50">
        <v>0</v>
      </c>
      <c r="N135" s="50">
        <f t="shared" si="10"/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f t="shared" si="11"/>
        <v>0</v>
      </c>
      <c r="T135" s="50">
        <v>0</v>
      </c>
      <c r="U135" s="50">
        <v>0</v>
      </c>
      <c r="V135" s="50">
        <f t="shared" si="12"/>
        <v>0</v>
      </c>
      <c r="W135" s="50">
        <v>0</v>
      </c>
      <c r="X135" s="50">
        <v>0</v>
      </c>
      <c r="Y135" s="42"/>
      <c r="Z135" s="42"/>
      <c r="AA135" s="43"/>
    </row>
    <row r="136" spans="1:27" x14ac:dyDescent="0.25">
      <c r="A136" s="47">
        <v>115</v>
      </c>
      <c r="B136" s="166" t="s">
        <v>282</v>
      </c>
      <c r="C136" s="49" t="s">
        <v>768</v>
      </c>
      <c r="D136" s="50">
        <f t="shared" si="8"/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f t="shared" si="9"/>
        <v>0</v>
      </c>
      <c r="L136" s="50">
        <v>0</v>
      </c>
      <c r="M136" s="50">
        <v>0</v>
      </c>
      <c r="N136" s="50">
        <f t="shared" si="10"/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f t="shared" si="11"/>
        <v>0</v>
      </c>
      <c r="T136" s="50">
        <v>0</v>
      </c>
      <c r="U136" s="50">
        <v>0</v>
      </c>
      <c r="V136" s="50">
        <f t="shared" si="12"/>
        <v>0</v>
      </c>
      <c r="W136" s="50">
        <v>0</v>
      </c>
      <c r="X136" s="50">
        <v>0</v>
      </c>
      <c r="Y136" s="42"/>
      <c r="Z136" s="42"/>
      <c r="AA136" s="43"/>
    </row>
    <row r="137" spans="1:27" x14ac:dyDescent="0.25">
      <c r="A137" s="47">
        <v>116</v>
      </c>
      <c r="B137" s="48" t="s">
        <v>283</v>
      </c>
      <c r="C137" s="49" t="s">
        <v>284</v>
      </c>
      <c r="D137" s="50">
        <f t="shared" si="8"/>
        <v>55158</v>
      </c>
      <c r="E137" s="50">
        <v>4730</v>
      </c>
      <c r="F137" s="50">
        <v>363</v>
      </c>
      <c r="G137" s="50">
        <v>8386</v>
      </c>
      <c r="H137" s="50">
        <v>69</v>
      </c>
      <c r="I137" s="50">
        <v>2458</v>
      </c>
      <c r="J137" s="50">
        <v>0</v>
      </c>
      <c r="K137" s="50">
        <f t="shared" si="9"/>
        <v>0</v>
      </c>
      <c r="L137" s="50">
        <v>0</v>
      </c>
      <c r="M137" s="50">
        <v>0</v>
      </c>
      <c r="N137" s="50">
        <f t="shared" si="10"/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f t="shared" si="11"/>
        <v>39152</v>
      </c>
      <c r="T137" s="50">
        <v>0</v>
      </c>
      <c r="U137" s="50">
        <v>2946</v>
      </c>
      <c r="V137" s="50">
        <f t="shared" si="12"/>
        <v>36206</v>
      </c>
      <c r="W137" s="50">
        <v>0</v>
      </c>
      <c r="X137" s="50">
        <v>36206</v>
      </c>
      <c r="Y137" s="42"/>
      <c r="Z137" s="42"/>
      <c r="AA137" s="43"/>
    </row>
    <row r="138" spans="1:27" ht="26.25" customHeight="1" x14ac:dyDescent="0.25">
      <c r="A138" s="47">
        <v>117</v>
      </c>
      <c r="B138" s="51" t="s">
        <v>285</v>
      </c>
      <c r="C138" s="49" t="s">
        <v>726</v>
      </c>
      <c r="D138" s="50">
        <f t="shared" si="8"/>
        <v>118374</v>
      </c>
      <c r="E138" s="50">
        <v>7334</v>
      </c>
      <c r="F138" s="50">
        <v>2314</v>
      </c>
      <c r="G138" s="50">
        <v>10652</v>
      </c>
      <c r="H138" s="50">
        <v>0</v>
      </c>
      <c r="I138" s="50">
        <v>3134</v>
      </c>
      <c r="J138" s="50">
        <v>10093</v>
      </c>
      <c r="K138" s="50">
        <f t="shared" si="9"/>
        <v>988</v>
      </c>
      <c r="L138" s="50">
        <v>0</v>
      </c>
      <c r="M138" s="50">
        <v>988</v>
      </c>
      <c r="N138" s="50">
        <f t="shared" si="10"/>
        <v>0</v>
      </c>
      <c r="O138" s="50">
        <v>0</v>
      </c>
      <c r="P138" s="50">
        <v>0</v>
      </c>
      <c r="Q138" s="50">
        <v>0</v>
      </c>
      <c r="R138" s="50">
        <v>8072</v>
      </c>
      <c r="S138" s="50">
        <f t="shared" si="11"/>
        <v>75787</v>
      </c>
      <c r="T138" s="50">
        <v>0</v>
      </c>
      <c r="U138" s="50">
        <v>2785</v>
      </c>
      <c r="V138" s="50">
        <f t="shared" si="12"/>
        <v>73002</v>
      </c>
      <c r="W138" s="50">
        <v>5374</v>
      </c>
      <c r="X138" s="50">
        <v>67628</v>
      </c>
      <c r="Y138" s="42"/>
      <c r="Z138" s="42"/>
      <c r="AA138" s="43"/>
    </row>
    <row r="139" spans="1:27" x14ac:dyDescent="0.25">
      <c r="A139" s="47">
        <v>118</v>
      </c>
      <c r="B139" s="166" t="s">
        <v>286</v>
      </c>
      <c r="C139" s="49" t="s">
        <v>287</v>
      </c>
      <c r="D139" s="50">
        <f t="shared" ref="D139:D148" si="24">E139+F139+G139+H139+I139+J139+K139+N139+R139+S139</f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f t="shared" ref="K139:K148" si="25">L139+M139</f>
        <v>0</v>
      </c>
      <c r="L139" s="50">
        <v>0</v>
      </c>
      <c r="M139" s="50">
        <v>0</v>
      </c>
      <c r="N139" s="50">
        <f t="shared" ref="N139:N148" si="26">O139+P139+Q139</f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f t="shared" si="11"/>
        <v>0</v>
      </c>
      <c r="T139" s="50">
        <v>0</v>
      </c>
      <c r="U139" s="50">
        <v>0</v>
      </c>
      <c r="V139" s="50">
        <f t="shared" ref="V139:V148" si="27">W139+X139</f>
        <v>0</v>
      </c>
      <c r="W139" s="50">
        <v>0</v>
      </c>
      <c r="X139" s="50">
        <v>0</v>
      </c>
      <c r="Y139" s="42"/>
      <c r="Z139" s="42"/>
      <c r="AA139" s="43"/>
    </row>
    <row r="140" spans="1:27" x14ac:dyDescent="0.25">
      <c r="A140" s="47">
        <v>119</v>
      </c>
      <c r="B140" s="48" t="s">
        <v>288</v>
      </c>
      <c r="C140" s="49" t="s">
        <v>289</v>
      </c>
      <c r="D140" s="50">
        <f t="shared" si="24"/>
        <v>16458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f t="shared" si="25"/>
        <v>0</v>
      </c>
      <c r="L140" s="50">
        <v>0</v>
      </c>
      <c r="M140" s="50">
        <v>0</v>
      </c>
      <c r="N140" s="50">
        <f t="shared" si="26"/>
        <v>16458</v>
      </c>
      <c r="O140" s="50">
        <v>0</v>
      </c>
      <c r="P140" s="50">
        <v>15805</v>
      </c>
      <c r="Q140" s="50">
        <v>653</v>
      </c>
      <c r="R140" s="50">
        <v>0</v>
      </c>
      <c r="S140" s="50">
        <f t="shared" ref="S140:S148" si="28">T140+U140+V140</f>
        <v>0</v>
      </c>
      <c r="T140" s="50">
        <v>0</v>
      </c>
      <c r="U140" s="50">
        <v>0</v>
      </c>
      <c r="V140" s="50">
        <f t="shared" si="27"/>
        <v>0</v>
      </c>
      <c r="W140" s="50">
        <v>0</v>
      </c>
      <c r="X140" s="50">
        <v>0</v>
      </c>
      <c r="Y140" s="42"/>
      <c r="Z140" s="42"/>
      <c r="AA140" s="43"/>
    </row>
    <row r="141" spans="1:27" x14ac:dyDescent="0.25">
      <c r="A141" s="47">
        <v>120</v>
      </c>
      <c r="B141" s="166" t="s">
        <v>290</v>
      </c>
      <c r="C141" s="49" t="s">
        <v>291</v>
      </c>
      <c r="D141" s="50">
        <f t="shared" si="24"/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f t="shared" si="25"/>
        <v>0</v>
      </c>
      <c r="L141" s="50">
        <v>0</v>
      </c>
      <c r="M141" s="50">
        <v>0</v>
      </c>
      <c r="N141" s="50">
        <f t="shared" si="26"/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f t="shared" si="28"/>
        <v>0</v>
      </c>
      <c r="T141" s="50">
        <v>0</v>
      </c>
      <c r="U141" s="50">
        <v>0</v>
      </c>
      <c r="V141" s="50">
        <f t="shared" si="27"/>
        <v>0</v>
      </c>
      <c r="W141" s="50">
        <v>0</v>
      </c>
      <c r="X141" s="50">
        <v>0</v>
      </c>
      <c r="Y141" s="42"/>
      <c r="Z141" s="42"/>
      <c r="AA141" s="43"/>
    </row>
    <row r="142" spans="1:27" x14ac:dyDescent="0.25">
      <c r="A142" s="47">
        <v>121</v>
      </c>
      <c r="B142" s="60" t="s">
        <v>292</v>
      </c>
      <c r="C142" s="61" t="s">
        <v>293</v>
      </c>
      <c r="D142" s="50">
        <f t="shared" si="24"/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f t="shared" si="25"/>
        <v>0</v>
      </c>
      <c r="L142" s="50">
        <v>0</v>
      </c>
      <c r="M142" s="50">
        <v>0</v>
      </c>
      <c r="N142" s="50">
        <f t="shared" si="26"/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f t="shared" si="28"/>
        <v>0</v>
      </c>
      <c r="T142" s="50">
        <v>0</v>
      </c>
      <c r="U142" s="50">
        <v>0</v>
      </c>
      <c r="V142" s="50">
        <f t="shared" si="27"/>
        <v>0</v>
      </c>
      <c r="W142" s="50">
        <v>0</v>
      </c>
      <c r="X142" s="50">
        <v>0</v>
      </c>
      <c r="Y142" s="42"/>
      <c r="Z142" s="42"/>
      <c r="AA142" s="43"/>
    </row>
    <row r="143" spans="1:27" x14ac:dyDescent="0.25">
      <c r="A143" s="47">
        <v>122</v>
      </c>
      <c r="B143" s="62" t="s">
        <v>294</v>
      </c>
      <c r="C143" s="569" t="s">
        <v>295</v>
      </c>
      <c r="D143" s="50">
        <f t="shared" si="24"/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f t="shared" si="25"/>
        <v>0</v>
      </c>
      <c r="L143" s="50">
        <v>0</v>
      </c>
      <c r="M143" s="50">
        <v>0</v>
      </c>
      <c r="N143" s="50">
        <f t="shared" si="26"/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f t="shared" si="28"/>
        <v>0</v>
      </c>
      <c r="T143" s="50">
        <v>0</v>
      </c>
      <c r="U143" s="50">
        <v>0</v>
      </c>
      <c r="V143" s="50">
        <f t="shared" si="27"/>
        <v>0</v>
      </c>
      <c r="W143" s="50">
        <v>0</v>
      </c>
      <c r="X143" s="50">
        <v>0</v>
      </c>
      <c r="Y143" s="42"/>
      <c r="Z143" s="42"/>
      <c r="AA143" s="43"/>
    </row>
    <row r="144" spans="1:27" x14ac:dyDescent="0.25">
      <c r="A144" s="47">
        <v>123</v>
      </c>
      <c r="B144" s="63" t="s">
        <v>296</v>
      </c>
      <c r="C144" s="64" t="s">
        <v>297</v>
      </c>
      <c r="D144" s="50">
        <f t="shared" si="24"/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f t="shared" si="25"/>
        <v>0</v>
      </c>
      <c r="L144" s="50">
        <v>0</v>
      </c>
      <c r="M144" s="50">
        <v>0</v>
      </c>
      <c r="N144" s="50">
        <f t="shared" si="26"/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f t="shared" si="28"/>
        <v>0</v>
      </c>
      <c r="T144" s="50">
        <v>0</v>
      </c>
      <c r="U144" s="50">
        <v>0</v>
      </c>
      <c r="V144" s="50">
        <f t="shared" si="27"/>
        <v>0</v>
      </c>
      <c r="W144" s="50">
        <v>0</v>
      </c>
      <c r="X144" s="50">
        <v>0</v>
      </c>
      <c r="Y144" s="42"/>
      <c r="Z144" s="42"/>
      <c r="AA144" s="43"/>
    </row>
    <row r="145" spans="1:27" x14ac:dyDescent="0.25">
      <c r="A145" s="47">
        <v>124</v>
      </c>
      <c r="B145" s="47" t="s">
        <v>298</v>
      </c>
      <c r="C145" s="65" t="s">
        <v>299</v>
      </c>
      <c r="D145" s="50">
        <f t="shared" si="24"/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f t="shared" si="25"/>
        <v>0</v>
      </c>
      <c r="L145" s="50">
        <v>0</v>
      </c>
      <c r="M145" s="50">
        <v>0</v>
      </c>
      <c r="N145" s="50">
        <f t="shared" si="26"/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f t="shared" si="28"/>
        <v>0</v>
      </c>
      <c r="T145" s="50">
        <v>0</v>
      </c>
      <c r="U145" s="50">
        <v>0</v>
      </c>
      <c r="V145" s="50">
        <f t="shared" si="27"/>
        <v>0</v>
      </c>
      <c r="W145" s="50">
        <v>0</v>
      </c>
      <c r="X145" s="50">
        <v>0</v>
      </c>
      <c r="Y145" s="42"/>
      <c r="Z145" s="42"/>
      <c r="AA145" s="43"/>
    </row>
    <row r="146" spans="1:27" x14ac:dyDescent="0.25">
      <c r="A146" s="47">
        <v>125</v>
      </c>
      <c r="B146" s="66" t="s">
        <v>300</v>
      </c>
      <c r="C146" s="65" t="s">
        <v>301</v>
      </c>
      <c r="D146" s="50">
        <f t="shared" si="24"/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f t="shared" si="25"/>
        <v>0</v>
      </c>
      <c r="L146" s="50">
        <v>0</v>
      </c>
      <c r="M146" s="50">
        <v>0</v>
      </c>
      <c r="N146" s="50">
        <f t="shared" si="26"/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f t="shared" si="28"/>
        <v>0</v>
      </c>
      <c r="T146" s="50">
        <v>0</v>
      </c>
      <c r="U146" s="50">
        <v>0</v>
      </c>
      <c r="V146" s="50">
        <f t="shared" si="27"/>
        <v>0</v>
      </c>
      <c r="W146" s="50">
        <v>0</v>
      </c>
      <c r="X146" s="50">
        <v>0</v>
      </c>
      <c r="Y146" s="42"/>
      <c r="Z146" s="42"/>
      <c r="AA146" s="43"/>
    </row>
    <row r="147" spans="1:27" x14ac:dyDescent="0.25">
      <c r="A147" s="47">
        <v>126</v>
      </c>
      <c r="B147" s="66" t="s">
        <v>302</v>
      </c>
      <c r="C147" s="65" t="s">
        <v>303</v>
      </c>
      <c r="D147" s="50">
        <f t="shared" si="24"/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f t="shared" si="25"/>
        <v>0</v>
      </c>
      <c r="L147" s="50">
        <v>0</v>
      </c>
      <c r="M147" s="50">
        <v>0</v>
      </c>
      <c r="N147" s="50">
        <f t="shared" si="26"/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f t="shared" si="28"/>
        <v>0</v>
      </c>
      <c r="T147" s="50">
        <v>0</v>
      </c>
      <c r="U147" s="50">
        <v>0</v>
      </c>
      <c r="V147" s="50">
        <f t="shared" si="27"/>
        <v>0</v>
      </c>
      <c r="W147" s="50">
        <v>0</v>
      </c>
      <c r="X147" s="50">
        <v>0</v>
      </c>
      <c r="Y147" s="42"/>
      <c r="Z147" s="42"/>
      <c r="AA147" s="43"/>
    </row>
    <row r="148" spans="1:27" s="36" customFormat="1" x14ac:dyDescent="0.25">
      <c r="A148" s="47">
        <v>127</v>
      </c>
      <c r="B148" s="66" t="s">
        <v>304</v>
      </c>
      <c r="C148" s="65" t="s">
        <v>305</v>
      </c>
      <c r="D148" s="50">
        <f t="shared" si="24"/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f t="shared" si="25"/>
        <v>0</v>
      </c>
      <c r="L148" s="50">
        <v>0</v>
      </c>
      <c r="M148" s="50">
        <v>0</v>
      </c>
      <c r="N148" s="50">
        <f t="shared" si="26"/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f t="shared" si="28"/>
        <v>0</v>
      </c>
      <c r="T148" s="50">
        <v>0</v>
      </c>
      <c r="U148" s="50">
        <v>0</v>
      </c>
      <c r="V148" s="50">
        <f t="shared" si="27"/>
        <v>0</v>
      </c>
      <c r="W148" s="50">
        <v>0</v>
      </c>
      <c r="X148" s="50">
        <v>0</v>
      </c>
      <c r="Y148" s="42"/>
      <c r="Z148" s="42"/>
      <c r="AA148" s="43"/>
    </row>
    <row r="149" spans="1:27" x14ac:dyDescent="0.25">
      <c r="Y149" s="42"/>
    </row>
    <row r="151" spans="1:27" x14ac:dyDescent="0.25">
      <c r="D151" s="453"/>
      <c r="E151" s="453"/>
      <c r="F151" s="453"/>
      <c r="G151" s="453"/>
      <c r="H151" s="453"/>
      <c r="I151" s="453"/>
      <c r="J151" s="453"/>
      <c r="K151" s="453"/>
      <c r="L151" s="453"/>
      <c r="M151" s="453"/>
      <c r="N151" s="453"/>
      <c r="O151" s="453"/>
      <c r="P151" s="453"/>
      <c r="Q151" s="453"/>
      <c r="R151" s="453"/>
      <c r="S151" s="453"/>
      <c r="T151" s="453"/>
      <c r="U151" s="453"/>
      <c r="V151" s="453"/>
      <c r="W151" s="453"/>
      <c r="X151" s="453"/>
    </row>
  </sheetData>
  <mergeCells count="32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73:A75"/>
    <mergeCell ref="A35:A36"/>
    <mergeCell ref="A86:A87"/>
    <mergeCell ref="A83:A84"/>
    <mergeCell ref="A76:A7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zoomScale="95" zoomScaleNormal="95" workbookViewId="0">
      <pane xSplit="3" ySplit="7" topLeftCell="D53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L11" sqref="L11"/>
    </sheetView>
  </sheetViews>
  <sheetFormatPr defaultRowHeight="15" x14ac:dyDescent="0.25"/>
  <cols>
    <col min="1" max="1" width="5.140625" style="106" customWidth="1"/>
    <col min="2" max="2" width="9.140625" style="106"/>
    <col min="3" max="3" width="49.28515625" style="106" customWidth="1"/>
    <col min="4" max="4" width="9.140625" style="90"/>
    <col min="5" max="5" width="11" style="90" customWidth="1"/>
    <col min="6" max="16384" width="9.140625" style="90"/>
  </cols>
  <sheetData>
    <row r="1" spans="1:20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x14ac:dyDescent="0.25">
      <c r="A2" s="904" t="s">
        <v>794</v>
      </c>
      <c r="B2" s="904"/>
      <c r="C2" s="904"/>
      <c r="D2" s="904"/>
      <c r="E2" s="904"/>
      <c r="F2" s="904"/>
      <c r="G2" s="904"/>
      <c r="H2" s="904"/>
      <c r="I2" s="904"/>
      <c r="J2" s="904"/>
      <c r="K2" s="904"/>
      <c r="L2" s="904"/>
      <c r="M2" s="904"/>
      <c r="N2" s="904"/>
      <c r="O2" s="904"/>
      <c r="P2" s="904"/>
      <c r="Q2" s="904"/>
      <c r="R2" s="904"/>
      <c r="S2" s="904"/>
      <c r="T2" s="904"/>
    </row>
    <row r="3" spans="1:20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x14ac:dyDescent="0.25">
      <c r="A4" s="905" t="s">
        <v>0</v>
      </c>
      <c r="B4" s="905" t="s">
        <v>1</v>
      </c>
      <c r="C4" s="906" t="s">
        <v>309</v>
      </c>
      <c r="D4" s="907" t="s">
        <v>13</v>
      </c>
      <c r="E4" s="907"/>
      <c r="F4" s="907"/>
      <c r="G4" s="907"/>
      <c r="H4" s="907"/>
      <c r="I4" s="907"/>
      <c r="J4" s="907"/>
      <c r="K4" s="907"/>
      <c r="L4" s="907"/>
      <c r="M4" s="907"/>
      <c r="N4" s="907"/>
      <c r="O4" s="907"/>
      <c r="P4" s="907"/>
      <c r="Q4" s="907"/>
      <c r="R4" s="907"/>
      <c r="S4" s="907"/>
      <c r="T4" s="907"/>
    </row>
    <row r="5" spans="1:20" ht="40.5" customHeight="1" x14ac:dyDescent="0.25">
      <c r="A5" s="905"/>
      <c r="B5" s="905"/>
      <c r="C5" s="906"/>
      <c r="D5" s="907" t="s">
        <v>13</v>
      </c>
      <c r="E5" s="903" t="s">
        <v>414</v>
      </c>
      <c r="F5" s="903"/>
      <c r="G5" s="903" t="s">
        <v>415</v>
      </c>
      <c r="H5" s="903"/>
      <c r="I5" s="903" t="s">
        <v>416</v>
      </c>
      <c r="J5" s="903"/>
      <c r="K5" s="903" t="s">
        <v>417</v>
      </c>
      <c r="L5" s="903"/>
      <c r="M5" s="903" t="s">
        <v>418</v>
      </c>
      <c r="N5" s="903"/>
      <c r="O5" s="903" t="s">
        <v>419</v>
      </c>
      <c r="P5" s="903"/>
      <c r="Q5" s="903" t="s">
        <v>420</v>
      </c>
      <c r="R5" s="903"/>
      <c r="S5" s="903" t="s">
        <v>421</v>
      </c>
      <c r="T5" s="903"/>
    </row>
    <row r="6" spans="1:20" ht="21" x14ac:dyDescent="0.25">
      <c r="A6" s="905"/>
      <c r="B6" s="905"/>
      <c r="C6" s="906"/>
      <c r="D6" s="907"/>
      <c r="E6" s="91" t="s">
        <v>422</v>
      </c>
      <c r="F6" s="91" t="s">
        <v>423</v>
      </c>
      <c r="G6" s="91" t="s">
        <v>424</v>
      </c>
      <c r="H6" s="91" t="s">
        <v>425</v>
      </c>
      <c r="I6" s="91" t="s">
        <v>424</v>
      </c>
      <c r="J6" s="91" t="s">
        <v>423</v>
      </c>
      <c r="K6" s="91" t="s">
        <v>424</v>
      </c>
      <c r="L6" s="91" t="s">
        <v>425</v>
      </c>
      <c r="M6" s="91" t="s">
        <v>424</v>
      </c>
      <c r="N6" s="91" t="s">
        <v>425</v>
      </c>
      <c r="O6" s="91" t="s">
        <v>424</v>
      </c>
      <c r="P6" s="91" t="s">
        <v>425</v>
      </c>
      <c r="Q6" s="91" t="s">
        <v>424</v>
      </c>
      <c r="R6" s="91" t="s">
        <v>425</v>
      </c>
      <c r="S6" s="91" t="s">
        <v>424</v>
      </c>
      <c r="T6" s="91" t="s">
        <v>425</v>
      </c>
    </row>
    <row r="7" spans="1:20" x14ac:dyDescent="0.25">
      <c r="A7" s="790">
        <v>1</v>
      </c>
      <c r="B7" s="790">
        <v>2</v>
      </c>
      <c r="C7" s="791">
        <v>3</v>
      </c>
      <c r="D7" s="793">
        <v>4</v>
      </c>
      <c r="E7" s="792">
        <v>5</v>
      </c>
      <c r="F7" s="793">
        <v>6</v>
      </c>
      <c r="G7" s="792">
        <v>7</v>
      </c>
      <c r="H7" s="793">
        <v>8</v>
      </c>
      <c r="I7" s="792">
        <v>9</v>
      </c>
      <c r="J7" s="793">
        <v>10</v>
      </c>
      <c r="K7" s="792">
        <v>11</v>
      </c>
      <c r="L7" s="793">
        <v>12</v>
      </c>
      <c r="M7" s="792">
        <v>13</v>
      </c>
      <c r="N7" s="793">
        <v>14</v>
      </c>
      <c r="O7" s="792">
        <v>15</v>
      </c>
      <c r="P7" s="793">
        <v>16</v>
      </c>
      <c r="Q7" s="792">
        <v>17</v>
      </c>
      <c r="R7" s="793">
        <v>18</v>
      </c>
      <c r="S7" s="792">
        <v>19</v>
      </c>
      <c r="T7" s="793">
        <v>20</v>
      </c>
    </row>
    <row r="8" spans="1:20" s="96" customFormat="1" x14ac:dyDescent="0.25">
      <c r="A8" s="92">
        <v>1</v>
      </c>
      <c r="B8" s="93" t="s">
        <v>280</v>
      </c>
      <c r="C8" s="94" t="s">
        <v>281</v>
      </c>
      <c r="D8" s="95">
        <f>SUM(E8:T8)</f>
        <v>3919</v>
      </c>
      <c r="E8" s="95">
        <f>E9+E11+E10</f>
        <v>671</v>
      </c>
      <c r="F8" s="95">
        <f t="shared" ref="F8:T8" si="0">F9+F11+F10</f>
        <v>220</v>
      </c>
      <c r="G8" s="95">
        <f t="shared" si="0"/>
        <v>426</v>
      </c>
      <c r="H8" s="95">
        <f t="shared" si="0"/>
        <v>282</v>
      </c>
      <c r="I8" s="95">
        <f t="shared" si="0"/>
        <v>1330</v>
      </c>
      <c r="J8" s="95">
        <f t="shared" si="0"/>
        <v>781</v>
      </c>
      <c r="K8" s="95">
        <f t="shared" si="0"/>
        <v>90</v>
      </c>
      <c r="L8" s="95">
        <f t="shared" si="0"/>
        <v>40</v>
      </c>
      <c r="M8" s="95">
        <f t="shared" si="0"/>
        <v>0</v>
      </c>
      <c r="N8" s="95">
        <f t="shared" si="0"/>
        <v>0</v>
      </c>
      <c r="O8" s="95">
        <f t="shared" si="0"/>
        <v>0</v>
      </c>
      <c r="P8" s="95">
        <f t="shared" si="0"/>
        <v>0</v>
      </c>
      <c r="Q8" s="95">
        <f t="shared" si="0"/>
        <v>0</v>
      </c>
      <c r="R8" s="95">
        <f t="shared" si="0"/>
        <v>0</v>
      </c>
      <c r="S8" s="95">
        <f t="shared" si="0"/>
        <v>58</v>
      </c>
      <c r="T8" s="95">
        <f t="shared" si="0"/>
        <v>21</v>
      </c>
    </row>
    <row r="9" spans="1:20" x14ac:dyDescent="0.25">
      <c r="A9" s="791"/>
      <c r="B9" s="97"/>
      <c r="C9" s="98" t="s">
        <v>426</v>
      </c>
      <c r="D9" s="99">
        <f t="shared" ref="D9:D11" si="1">SUM(E9:T9)</f>
        <v>3499</v>
      </c>
      <c r="E9" s="99">
        <f>671-50</f>
        <v>621</v>
      </c>
      <c r="F9" s="99">
        <f>220-20</f>
        <v>200</v>
      </c>
      <c r="G9" s="99">
        <f>426-25</f>
        <v>401</v>
      </c>
      <c r="H9" s="99">
        <f>282-15</f>
        <v>267</v>
      </c>
      <c r="I9" s="99">
        <f>1160-25</f>
        <v>1135</v>
      </c>
      <c r="J9" s="99">
        <f>751-15</f>
        <v>736</v>
      </c>
      <c r="K9" s="99">
        <v>40</v>
      </c>
      <c r="L9" s="99">
        <v>20</v>
      </c>
      <c r="M9" s="99"/>
      <c r="N9" s="99"/>
      <c r="O9" s="99"/>
      <c r="P9" s="99"/>
      <c r="Q9" s="99"/>
      <c r="R9" s="99"/>
      <c r="S9" s="99">
        <v>58</v>
      </c>
      <c r="T9" s="99">
        <v>21</v>
      </c>
    </row>
    <row r="10" spans="1:20" ht="30" x14ac:dyDescent="0.25">
      <c r="A10" s="791"/>
      <c r="B10" s="97"/>
      <c r="C10" s="98" t="s">
        <v>795</v>
      </c>
      <c r="D10" s="99">
        <f t="shared" si="1"/>
        <v>150</v>
      </c>
      <c r="E10" s="99">
        <v>50</v>
      </c>
      <c r="F10" s="99">
        <v>20</v>
      </c>
      <c r="G10" s="99">
        <v>25</v>
      </c>
      <c r="H10" s="99">
        <v>15</v>
      </c>
      <c r="I10" s="99">
        <v>25</v>
      </c>
      <c r="J10" s="99">
        <v>15</v>
      </c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spans="1:20" x14ac:dyDescent="0.25">
      <c r="A11" s="791"/>
      <c r="B11" s="97"/>
      <c r="C11" s="98" t="s">
        <v>427</v>
      </c>
      <c r="D11" s="99">
        <f t="shared" si="1"/>
        <v>270</v>
      </c>
      <c r="E11" s="99"/>
      <c r="F11" s="99"/>
      <c r="G11" s="99"/>
      <c r="H11" s="99"/>
      <c r="I11" s="99">
        <v>170</v>
      </c>
      <c r="J11" s="99">
        <v>30</v>
      </c>
      <c r="K11" s="99">
        <v>50</v>
      </c>
      <c r="L11" s="99">
        <v>20</v>
      </c>
      <c r="M11" s="99"/>
      <c r="N11" s="99"/>
      <c r="O11" s="99"/>
      <c r="P11" s="99"/>
      <c r="Q11" s="99"/>
      <c r="R11" s="99"/>
      <c r="S11" s="99"/>
      <c r="T11" s="99"/>
    </row>
    <row r="12" spans="1:20" s="96" customFormat="1" x14ac:dyDescent="0.25">
      <c r="A12" s="92">
        <v>2</v>
      </c>
      <c r="B12" s="93" t="s">
        <v>62</v>
      </c>
      <c r="C12" s="94" t="s">
        <v>63</v>
      </c>
      <c r="D12" s="95">
        <f>SUM(E12:T12)</f>
        <v>477</v>
      </c>
      <c r="E12" s="95">
        <f>E13+E14</f>
        <v>145</v>
      </c>
      <c r="F12" s="95">
        <f t="shared" ref="F12:T12" si="2">F13+F14</f>
        <v>70</v>
      </c>
      <c r="G12" s="95">
        <f t="shared" si="2"/>
        <v>26</v>
      </c>
      <c r="H12" s="95">
        <f t="shared" si="2"/>
        <v>24</v>
      </c>
      <c r="I12" s="95">
        <f t="shared" si="2"/>
        <v>84</v>
      </c>
      <c r="J12" s="95">
        <f t="shared" si="2"/>
        <v>20</v>
      </c>
      <c r="K12" s="95">
        <f t="shared" si="2"/>
        <v>94</v>
      </c>
      <c r="L12" s="95">
        <f t="shared" si="2"/>
        <v>14</v>
      </c>
      <c r="M12" s="95">
        <f t="shared" si="2"/>
        <v>0</v>
      </c>
      <c r="N12" s="95">
        <f t="shared" si="2"/>
        <v>0</v>
      </c>
      <c r="O12" s="95">
        <f t="shared" si="2"/>
        <v>0</v>
      </c>
      <c r="P12" s="95">
        <f t="shared" si="2"/>
        <v>0</v>
      </c>
      <c r="Q12" s="95">
        <f t="shared" si="2"/>
        <v>0</v>
      </c>
      <c r="R12" s="95">
        <f t="shared" si="2"/>
        <v>0</v>
      </c>
      <c r="S12" s="95">
        <f t="shared" si="2"/>
        <v>0</v>
      </c>
      <c r="T12" s="95">
        <f t="shared" si="2"/>
        <v>0</v>
      </c>
    </row>
    <row r="13" spans="1:20" s="96" customFormat="1" x14ac:dyDescent="0.25">
      <c r="A13" s="92"/>
      <c r="B13" s="93"/>
      <c r="C13" s="98" t="s">
        <v>426</v>
      </c>
      <c r="D13" s="99">
        <f t="shared" ref="D13:D18" si="3">SUM(E13:T13)</f>
        <v>207</v>
      </c>
      <c r="E13" s="99">
        <v>40</v>
      </c>
      <c r="F13" s="99">
        <v>20</v>
      </c>
      <c r="G13" s="99">
        <v>21</v>
      </c>
      <c r="H13" s="99">
        <v>24</v>
      </c>
      <c r="I13" s="99">
        <v>44</v>
      </c>
      <c r="J13" s="99">
        <v>20</v>
      </c>
      <c r="K13" s="99">
        <v>24</v>
      </c>
      <c r="L13" s="99">
        <v>14</v>
      </c>
      <c r="M13" s="99"/>
      <c r="N13" s="99"/>
      <c r="O13" s="99"/>
      <c r="P13" s="99"/>
      <c r="Q13" s="99"/>
      <c r="R13" s="99"/>
      <c r="S13" s="99"/>
      <c r="T13" s="99"/>
    </row>
    <row r="14" spans="1:20" x14ac:dyDescent="0.25">
      <c r="A14" s="791"/>
      <c r="B14" s="97"/>
      <c r="C14" s="98" t="s">
        <v>427</v>
      </c>
      <c r="D14" s="99">
        <f t="shared" si="3"/>
        <v>270</v>
      </c>
      <c r="E14" s="99">
        <f>120-15</f>
        <v>105</v>
      </c>
      <c r="F14" s="99">
        <v>50</v>
      </c>
      <c r="G14" s="99">
        <v>5</v>
      </c>
      <c r="H14" s="99"/>
      <c r="I14" s="99">
        <f>45-5</f>
        <v>40</v>
      </c>
      <c r="J14" s="99"/>
      <c r="K14" s="99">
        <f>80-10</f>
        <v>70</v>
      </c>
      <c r="L14" s="99"/>
      <c r="M14" s="99"/>
      <c r="N14" s="99"/>
      <c r="O14" s="99"/>
      <c r="P14" s="99"/>
      <c r="Q14" s="99"/>
      <c r="R14" s="99"/>
      <c r="S14" s="99"/>
      <c r="T14" s="99"/>
    </row>
    <row r="15" spans="1:20" x14ac:dyDescent="0.25">
      <c r="A15" s="791">
        <v>3</v>
      </c>
      <c r="B15" s="97" t="s">
        <v>148</v>
      </c>
      <c r="C15" s="100" t="s">
        <v>149</v>
      </c>
      <c r="D15" s="99">
        <f t="shared" si="3"/>
        <v>310</v>
      </c>
      <c r="E15" s="99">
        <v>250</v>
      </c>
      <c r="F15" s="99"/>
      <c r="G15" s="99"/>
      <c r="H15" s="99"/>
      <c r="I15" s="99">
        <v>10</v>
      </c>
      <c r="J15" s="99"/>
      <c r="K15" s="99">
        <v>50</v>
      </c>
      <c r="L15" s="99"/>
      <c r="M15" s="99"/>
      <c r="N15" s="99"/>
      <c r="O15" s="99"/>
      <c r="P15" s="99"/>
      <c r="Q15" s="99"/>
      <c r="R15" s="99"/>
      <c r="S15" s="99"/>
      <c r="T15" s="99"/>
    </row>
    <row r="16" spans="1:20" x14ac:dyDescent="0.25">
      <c r="A16" s="791">
        <v>4</v>
      </c>
      <c r="B16" s="97" t="s">
        <v>150</v>
      </c>
      <c r="C16" s="100" t="s">
        <v>151</v>
      </c>
      <c r="D16" s="99">
        <f t="shared" si="3"/>
        <v>323</v>
      </c>
      <c r="E16" s="99">
        <v>71</v>
      </c>
      <c r="F16" s="99"/>
      <c r="G16" s="99"/>
      <c r="H16" s="99"/>
      <c r="I16" s="99">
        <v>42</v>
      </c>
      <c r="J16" s="99"/>
      <c r="K16" s="99">
        <v>210</v>
      </c>
      <c r="L16" s="99"/>
      <c r="M16" s="99"/>
      <c r="N16" s="99"/>
      <c r="O16" s="99"/>
      <c r="P16" s="99"/>
      <c r="Q16" s="99"/>
      <c r="R16" s="99"/>
      <c r="S16" s="99"/>
      <c r="T16" s="99"/>
    </row>
    <row r="17" spans="1:20" x14ac:dyDescent="0.25">
      <c r="A17" s="791">
        <v>5</v>
      </c>
      <c r="B17" s="97" t="s">
        <v>154</v>
      </c>
      <c r="C17" s="100" t="s">
        <v>155</v>
      </c>
      <c r="D17" s="99">
        <f t="shared" si="3"/>
        <v>340</v>
      </c>
      <c r="E17" s="99">
        <v>250</v>
      </c>
      <c r="F17" s="99"/>
      <c r="G17" s="99">
        <v>10</v>
      </c>
      <c r="H17" s="99"/>
      <c r="I17" s="99">
        <v>50</v>
      </c>
      <c r="J17" s="99"/>
      <c r="K17" s="99">
        <v>30</v>
      </c>
      <c r="L17" s="99"/>
      <c r="M17" s="99"/>
      <c r="N17" s="99"/>
      <c r="O17" s="99"/>
      <c r="P17" s="99"/>
      <c r="Q17" s="99"/>
      <c r="R17" s="99"/>
      <c r="S17" s="99"/>
      <c r="T17" s="99"/>
    </row>
    <row r="18" spans="1:20" x14ac:dyDescent="0.25">
      <c r="A18" s="791"/>
      <c r="B18" s="796" t="s">
        <v>156</v>
      </c>
      <c r="C18" s="797" t="s">
        <v>157</v>
      </c>
      <c r="D18" s="798">
        <f t="shared" si="3"/>
        <v>0</v>
      </c>
      <c r="E18" s="798">
        <v>0</v>
      </c>
      <c r="F18" s="798">
        <v>0</v>
      </c>
      <c r="G18" s="798">
        <v>0</v>
      </c>
      <c r="H18" s="798">
        <v>0</v>
      </c>
      <c r="I18" s="798">
        <v>0</v>
      </c>
      <c r="J18" s="798">
        <v>0</v>
      </c>
      <c r="K18" s="798">
        <v>0</v>
      </c>
      <c r="L18" s="798">
        <v>0</v>
      </c>
      <c r="M18" s="798"/>
      <c r="N18" s="798"/>
      <c r="O18" s="99"/>
      <c r="P18" s="99"/>
      <c r="Q18" s="99"/>
      <c r="R18" s="99"/>
      <c r="S18" s="99"/>
      <c r="T18" s="99"/>
    </row>
    <row r="19" spans="1:20" s="96" customFormat="1" x14ac:dyDescent="0.25">
      <c r="A19" s="92">
        <v>6</v>
      </c>
      <c r="B19" s="93" t="s">
        <v>20</v>
      </c>
      <c r="C19" s="94" t="s">
        <v>21</v>
      </c>
      <c r="D19" s="95">
        <f>SUM(E19:T19)</f>
        <v>336</v>
      </c>
      <c r="E19" s="95">
        <f>E20+E21</f>
        <v>85</v>
      </c>
      <c r="F19" s="95">
        <f t="shared" ref="F19:T19" si="4">F20+F21</f>
        <v>42</v>
      </c>
      <c r="G19" s="95">
        <f t="shared" si="4"/>
        <v>21</v>
      </c>
      <c r="H19" s="95">
        <f t="shared" si="4"/>
        <v>12</v>
      </c>
      <c r="I19" s="95">
        <f t="shared" si="4"/>
        <v>63</v>
      </c>
      <c r="J19" s="95">
        <f t="shared" si="4"/>
        <v>10</v>
      </c>
      <c r="K19" s="95">
        <f t="shared" si="4"/>
        <v>88</v>
      </c>
      <c r="L19" s="95">
        <f t="shared" si="4"/>
        <v>15</v>
      </c>
      <c r="M19" s="95">
        <f t="shared" si="4"/>
        <v>0</v>
      </c>
      <c r="N19" s="95">
        <f t="shared" si="4"/>
        <v>0</v>
      </c>
      <c r="O19" s="95">
        <f t="shared" si="4"/>
        <v>0</v>
      </c>
      <c r="P19" s="95">
        <f t="shared" si="4"/>
        <v>0</v>
      </c>
      <c r="Q19" s="95">
        <f t="shared" si="4"/>
        <v>0</v>
      </c>
      <c r="R19" s="95">
        <f t="shared" si="4"/>
        <v>0</v>
      </c>
      <c r="S19" s="95">
        <f t="shared" si="4"/>
        <v>0</v>
      </c>
      <c r="T19" s="95">
        <f t="shared" si="4"/>
        <v>0</v>
      </c>
    </row>
    <row r="20" spans="1:20" s="96" customFormat="1" x14ac:dyDescent="0.25">
      <c r="A20" s="92"/>
      <c r="B20" s="93"/>
      <c r="C20" s="98" t="s">
        <v>426</v>
      </c>
      <c r="D20" s="99">
        <f t="shared" ref="D20:D21" si="5">SUM(E20:T20)</f>
        <v>136</v>
      </c>
      <c r="E20" s="99">
        <v>25</v>
      </c>
      <c r="F20" s="99">
        <v>12</v>
      </c>
      <c r="G20" s="99">
        <v>12</v>
      </c>
      <c r="H20" s="99">
        <v>12</v>
      </c>
      <c r="I20" s="99">
        <v>15</v>
      </c>
      <c r="J20" s="99">
        <v>10</v>
      </c>
      <c r="K20" s="99">
        <v>35</v>
      </c>
      <c r="L20" s="99">
        <v>15</v>
      </c>
      <c r="M20" s="99"/>
      <c r="N20" s="99"/>
      <c r="O20" s="99"/>
      <c r="P20" s="99"/>
      <c r="Q20" s="99"/>
      <c r="R20" s="99"/>
      <c r="S20" s="99"/>
      <c r="T20" s="99"/>
    </row>
    <row r="21" spans="1:20" s="96" customFormat="1" x14ac:dyDescent="0.25">
      <c r="A21" s="92"/>
      <c r="B21" s="93"/>
      <c r="C21" s="98" t="s">
        <v>427</v>
      </c>
      <c r="D21" s="99">
        <f t="shared" si="5"/>
        <v>200</v>
      </c>
      <c r="E21" s="99">
        <v>60</v>
      </c>
      <c r="F21" s="99">
        <v>30</v>
      </c>
      <c r="G21" s="99">
        <v>9</v>
      </c>
      <c r="H21" s="99"/>
      <c r="I21" s="99">
        <v>48</v>
      </c>
      <c r="J21" s="99"/>
      <c r="K21" s="99">
        <v>53</v>
      </c>
      <c r="L21" s="99"/>
      <c r="M21" s="99"/>
      <c r="N21" s="99"/>
      <c r="O21" s="99"/>
      <c r="P21" s="99"/>
      <c r="Q21" s="99"/>
      <c r="R21" s="99"/>
      <c r="S21" s="99"/>
      <c r="T21" s="99"/>
    </row>
    <row r="22" spans="1:20" s="96" customFormat="1" x14ac:dyDescent="0.25">
      <c r="A22" s="92">
        <v>7</v>
      </c>
      <c r="B22" s="93" t="s">
        <v>32</v>
      </c>
      <c r="C22" s="94" t="s">
        <v>33</v>
      </c>
      <c r="D22" s="95">
        <f>SUM(E22:T22)</f>
        <v>236</v>
      </c>
      <c r="E22" s="95">
        <f>E23+E24</f>
        <v>81</v>
      </c>
      <c r="F22" s="95">
        <f t="shared" ref="F22:T22" si="6">F23+F24</f>
        <v>6</v>
      </c>
      <c r="G22" s="95">
        <f t="shared" si="6"/>
        <v>0</v>
      </c>
      <c r="H22" s="95">
        <f t="shared" si="6"/>
        <v>0</v>
      </c>
      <c r="I22" s="95">
        <f t="shared" si="6"/>
        <v>75</v>
      </c>
      <c r="J22" s="95">
        <f t="shared" si="6"/>
        <v>24</v>
      </c>
      <c r="K22" s="95">
        <f t="shared" si="6"/>
        <v>50</v>
      </c>
      <c r="L22" s="95">
        <f t="shared" si="6"/>
        <v>0</v>
      </c>
      <c r="M22" s="95">
        <f t="shared" si="6"/>
        <v>0</v>
      </c>
      <c r="N22" s="95">
        <f t="shared" si="6"/>
        <v>0</v>
      </c>
      <c r="O22" s="95">
        <f t="shared" si="6"/>
        <v>0</v>
      </c>
      <c r="P22" s="95">
        <f t="shared" si="6"/>
        <v>0</v>
      </c>
      <c r="Q22" s="95">
        <f t="shared" si="6"/>
        <v>0</v>
      </c>
      <c r="R22" s="95">
        <f t="shared" si="6"/>
        <v>0</v>
      </c>
      <c r="S22" s="95">
        <f t="shared" si="6"/>
        <v>0</v>
      </c>
      <c r="T22" s="95">
        <f t="shared" si="6"/>
        <v>0</v>
      </c>
    </row>
    <row r="23" spans="1:20" x14ac:dyDescent="0.25">
      <c r="A23" s="791"/>
      <c r="B23" s="97"/>
      <c r="C23" s="98" t="s">
        <v>426</v>
      </c>
      <c r="D23" s="99">
        <f t="shared" ref="D23:D63" si="7">SUM(E23:T23)</f>
        <v>126</v>
      </c>
      <c r="E23" s="99">
        <v>14</v>
      </c>
      <c r="F23" s="99">
        <v>3</v>
      </c>
      <c r="G23" s="99"/>
      <c r="H23" s="99"/>
      <c r="I23" s="99">
        <v>35</v>
      </c>
      <c r="J23" s="99">
        <v>24</v>
      </c>
      <c r="K23" s="99">
        <v>50</v>
      </c>
      <c r="L23" s="99"/>
      <c r="M23" s="99"/>
      <c r="N23" s="99"/>
      <c r="O23" s="99"/>
      <c r="P23" s="99"/>
      <c r="Q23" s="99"/>
      <c r="R23" s="99"/>
      <c r="S23" s="99"/>
      <c r="T23" s="99"/>
    </row>
    <row r="24" spans="1:20" x14ac:dyDescent="0.25">
      <c r="A24" s="791"/>
      <c r="B24" s="97"/>
      <c r="C24" s="98" t="s">
        <v>427</v>
      </c>
      <c r="D24" s="99">
        <f t="shared" si="7"/>
        <v>110</v>
      </c>
      <c r="E24" s="99">
        <v>67</v>
      </c>
      <c r="F24" s="99">
        <v>3</v>
      </c>
      <c r="G24" s="99"/>
      <c r="H24" s="99"/>
      <c r="I24" s="99">
        <v>40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</row>
    <row r="25" spans="1:20" x14ac:dyDescent="0.25">
      <c r="A25" s="791">
        <v>8</v>
      </c>
      <c r="B25" s="97" t="s">
        <v>272</v>
      </c>
      <c r="C25" s="100" t="s">
        <v>273</v>
      </c>
      <c r="D25" s="99">
        <f t="shared" si="7"/>
        <v>470</v>
      </c>
      <c r="E25" s="99">
        <f>180+3-10</f>
        <v>173</v>
      </c>
      <c r="F25" s="99">
        <v>49</v>
      </c>
      <c r="G25" s="99">
        <f>2-1</f>
        <v>1</v>
      </c>
      <c r="H25" s="99">
        <f>9-2</f>
        <v>7</v>
      </c>
      <c r="I25" s="99">
        <f>106-10</f>
        <v>96</v>
      </c>
      <c r="J25" s="99">
        <v>40</v>
      </c>
      <c r="K25" s="99">
        <f>40-10</f>
        <v>30</v>
      </c>
      <c r="L25" s="99">
        <v>28</v>
      </c>
      <c r="M25" s="99"/>
      <c r="N25" s="99"/>
      <c r="O25" s="99"/>
      <c r="P25" s="99"/>
      <c r="Q25" s="99">
        <v>46</v>
      </c>
      <c r="R25" s="99"/>
      <c r="S25" s="99"/>
      <c r="T25" s="99"/>
    </row>
    <row r="26" spans="1:20" x14ac:dyDescent="0.25">
      <c r="A26" s="791">
        <v>9</v>
      </c>
      <c r="B26" s="97" t="s">
        <v>192</v>
      </c>
      <c r="C26" s="100" t="s">
        <v>193</v>
      </c>
      <c r="D26" s="99">
        <f t="shared" si="7"/>
        <v>350</v>
      </c>
      <c r="E26" s="99">
        <v>284</v>
      </c>
      <c r="F26" s="99"/>
      <c r="G26" s="99"/>
      <c r="H26" s="99"/>
      <c r="I26" s="99">
        <v>36</v>
      </c>
      <c r="J26" s="99"/>
      <c r="K26" s="99">
        <v>30</v>
      </c>
      <c r="L26" s="99"/>
      <c r="M26" s="99"/>
      <c r="N26" s="99"/>
      <c r="O26" s="99"/>
      <c r="P26" s="99"/>
      <c r="Q26" s="99"/>
      <c r="R26" s="99"/>
      <c r="S26" s="99"/>
      <c r="T26" s="99"/>
    </row>
    <row r="27" spans="1:20" x14ac:dyDescent="0.25">
      <c r="A27" s="791">
        <v>10</v>
      </c>
      <c r="B27" s="97" t="s">
        <v>212</v>
      </c>
      <c r="C27" s="100" t="s">
        <v>213</v>
      </c>
      <c r="D27" s="99">
        <f t="shared" si="7"/>
        <v>52</v>
      </c>
      <c r="E27" s="99">
        <v>10</v>
      </c>
      <c r="F27" s="99">
        <v>5</v>
      </c>
      <c r="G27" s="99">
        <v>7</v>
      </c>
      <c r="H27" s="99">
        <v>3</v>
      </c>
      <c r="I27" s="99">
        <v>15</v>
      </c>
      <c r="J27" s="99">
        <v>12</v>
      </c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spans="1:20" x14ac:dyDescent="0.25">
      <c r="A28" s="791">
        <v>11</v>
      </c>
      <c r="B28" s="97" t="s">
        <v>126</v>
      </c>
      <c r="C28" s="100" t="s">
        <v>127</v>
      </c>
      <c r="D28" s="99">
        <f t="shared" si="7"/>
        <v>107</v>
      </c>
      <c r="E28" s="99">
        <v>22</v>
      </c>
      <c r="F28" s="99">
        <v>10</v>
      </c>
      <c r="G28" s="99">
        <v>15</v>
      </c>
      <c r="H28" s="99">
        <v>7</v>
      </c>
      <c r="I28" s="99">
        <v>22</v>
      </c>
      <c r="J28" s="99">
        <v>6</v>
      </c>
      <c r="K28" s="99">
        <v>20</v>
      </c>
      <c r="L28" s="99">
        <v>5</v>
      </c>
      <c r="M28" s="99"/>
      <c r="N28" s="99"/>
      <c r="O28" s="99"/>
      <c r="P28" s="99"/>
      <c r="Q28" s="99"/>
      <c r="R28" s="99"/>
      <c r="S28" s="99"/>
      <c r="T28" s="99"/>
    </row>
    <row r="29" spans="1:20" x14ac:dyDescent="0.25">
      <c r="A29" s="92">
        <v>12</v>
      </c>
      <c r="B29" s="93" t="s">
        <v>188</v>
      </c>
      <c r="C29" s="94" t="s">
        <v>796</v>
      </c>
      <c r="D29" s="95">
        <f t="shared" si="7"/>
        <v>636</v>
      </c>
      <c r="E29" s="95">
        <f>E30+E31</f>
        <v>272</v>
      </c>
      <c r="F29" s="95">
        <f t="shared" ref="F29:T29" si="8">F30+F31</f>
        <v>36</v>
      </c>
      <c r="G29" s="95">
        <f t="shared" si="8"/>
        <v>48</v>
      </c>
      <c r="H29" s="95">
        <f t="shared" si="8"/>
        <v>17</v>
      </c>
      <c r="I29" s="95">
        <f t="shared" si="8"/>
        <v>103</v>
      </c>
      <c r="J29" s="95">
        <f t="shared" si="8"/>
        <v>20</v>
      </c>
      <c r="K29" s="95">
        <f t="shared" si="8"/>
        <v>120</v>
      </c>
      <c r="L29" s="95">
        <f t="shared" si="8"/>
        <v>20</v>
      </c>
      <c r="M29" s="95">
        <f t="shared" si="8"/>
        <v>0</v>
      </c>
      <c r="N29" s="95">
        <f t="shared" si="8"/>
        <v>0</v>
      </c>
      <c r="O29" s="95">
        <f t="shared" si="8"/>
        <v>0</v>
      </c>
      <c r="P29" s="95">
        <f t="shared" si="8"/>
        <v>0</v>
      </c>
      <c r="Q29" s="95">
        <f t="shared" si="8"/>
        <v>0</v>
      </c>
      <c r="R29" s="95">
        <f t="shared" si="8"/>
        <v>0</v>
      </c>
      <c r="S29" s="95">
        <f t="shared" si="8"/>
        <v>0</v>
      </c>
      <c r="T29" s="95">
        <f t="shared" si="8"/>
        <v>0</v>
      </c>
    </row>
    <row r="30" spans="1:20" x14ac:dyDescent="0.25">
      <c r="A30" s="791"/>
      <c r="B30" s="97"/>
      <c r="C30" s="98" t="s">
        <v>426</v>
      </c>
      <c r="D30" s="99">
        <f t="shared" si="7"/>
        <v>166</v>
      </c>
      <c r="E30" s="99">
        <v>32</v>
      </c>
      <c r="F30" s="99">
        <v>16</v>
      </c>
      <c r="G30" s="99">
        <v>38</v>
      </c>
      <c r="H30" s="99">
        <v>17</v>
      </c>
      <c r="I30" s="99">
        <v>43</v>
      </c>
      <c r="J30" s="99">
        <v>20</v>
      </c>
      <c r="K30" s="99"/>
      <c r="L30" s="99"/>
      <c r="M30" s="99"/>
      <c r="N30" s="99"/>
      <c r="O30" s="99"/>
      <c r="P30" s="99"/>
      <c r="Q30" s="99"/>
      <c r="R30" s="99"/>
      <c r="S30" s="99"/>
      <c r="T30" s="99"/>
    </row>
    <row r="31" spans="1:20" x14ac:dyDescent="0.25">
      <c r="A31" s="791"/>
      <c r="B31" s="97"/>
      <c r="C31" s="98" t="s">
        <v>427</v>
      </c>
      <c r="D31" s="99">
        <f t="shared" si="7"/>
        <v>470</v>
      </c>
      <c r="E31" s="99">
        <f>250-10</f>
        <v>240</v>
      </c>
      <c r="F31" s="99">
        <v>20</v>
      </c>
      <c r="G31" s="99">
        <v>10</v>
      </c>
      <c r="H31" s="99">
        <v>0</v>
      </c>
      <c r="I31" s="99">
        <f>70-10</f>
        <v>60</v>
      </c>
      <c r="J31" s="99">
        <v>0</v>
      </c>
      <c r="K31" s="99">
        <f>130-10</f>
        <v>120</v>
      </c>
      <c r="L31" s="99">
        <v>20</v>
      </c>
      <c r="M31" s="99">
        <v>0</v>
      </c>
      <c r="N31" s="99">
        <v>0</v>
      </c>
      <c r="O31" s="99">
        <v>0</v>
      </c>
      <c r="P31" s="99">
        <v>0</v>
      </c>
      <c r="Q31" s="99">
        <v>0</v>
      </c>
      <c r="R31" s="99">
        <v>0</v>
      </c>
      <c r="S31" s="99">
        <v>0</v>
      </c>
      <c r="T31" s="99">
        <v>0</v>
      </c>
    </row>
    <row r="32" spans="1:20" x14ac:dyDescent="0.25">
      <c r="A32" s="791">
        <v>13</v>
      </c>
      <c r="B32" s="97" t="s">
        <v>98</v>
      </c>
      <c r="C32" s="100" t="s">
        <v>99</v>
      </c>
      <c r="D32" s="99">
        <f t="shared" si="7"/>
        <v>271</v>
      </c>
      <c r="E32" s="99">
        <v>54</v>
      </c>
      <c r="F32" s="99">
        <v>22</v>
      </c>
      <c r="G32" s="99">
        <v>25</v>
      </c>
      <c r="H32" s="99">
        <v>20</v>
      </c>
      <c r="I32" s="99">
        <v>50</v>
      </c>
      <c r="J32" s="99">
        <v>15</v>
      </c>
      <c r="K32" s="99">
        <v>65</v>
      </c>
      <c r="L32" s="99">
        <v>20</v>
      </c>
      <c r="M32" s="99"/>
      <c r="N32" s="99"/>
      <c r="O32" s="99"/>
      <c r="P32" s="99"/>
      <c r="Q32" s="99"/>
      <c r="R32" s="99"/>
      <c r="S32" s="99"/>
      <c r="T32" s="99"/>
    </row>
    <row r="33" spans="1:20" x14ac:dyDescent="0.25">
      <c r="A33" s="791">
        <v>14</v>
      </c>
      <c r="B33" s="97" t="s">
        <v>194</v>
      </c>
      <c r="C33" s="100" t="s">
        <v>428</v>
      </c>
      <c r="D33" s="99">
        <f t="shared" si="7"/>
        <v>109</v>
      </c>
      <c r="E33" s="99">
        <v>23</v>
      </c>
      <c r="F33" s="99">
        <v>12</v>
      </c>
      <c r="G33" s="99">
        <v>17</v>
      </c>
      <c r="H33" s="99">
        <v>12</v>
      </c>
      <c r="I33" s="99">
        <v>15</v>
      </c>
      <c r="J33" s="99">
        <v>12</v>
      </c>
      <c r="K33" s="99">
        <v>10</v>
      </c>
      <c r="L33" s="99">
        <v>8</v>
      </c>
      <c r="M33" s="99"/>
      <c r="N33" s="99"/>
      <c r="O33" s="99"/>
      <c r="P33" s="99"/>
      <c r="Q33" s="99"/>
      <c r="R33" s="99"/>
      <c r="S33" s="99"/>
      <c r="T33" s="99"/>
    </row>
    <row r="34" spans="1:20" x14ac:dyDescent="0.25">
      <c r="A34" s="791">
        <v>15</v>
      </c>
      <c r="B34" s="97" t="s">
        <v>184</v>
      </c>
      <c r="C34" s="100" t="s">
        <v>429</v>
      </c>
      <c r="D34" s="99">
        <f t="shared" si="7"/>
        <v>121</v>
      </c>
      <c r="E34" s="99">
        <v>20</v>
      </c>
      <c r="F34" s="99">
        <v>14</v>
      </c>
      <c r="G34" s="99">
        <v>24</v>
      </c>
      <c r="H34" s="99">
        <v>14</v>
      </c>
      <c r="I34" s="99">
        <v>18</v>
      </c>
      <c r="J34" s="99">
        <v>12</v>
      </c>
      <c r="K34" s="99">
        <v>11</v>
      </c>
      <c r="L34" s="99">
        <v>8</v>
      </c>
      <c r="M34" s="99"/>
      <c r="N34" s="99"/>
      <c r="O34" s="99"/>
      <c r="P34" s="99"/>
      <c r="Q34" s="99"/>
      <c r="R34" s="99"/>
      <c r="S34" s="99"/>
      <c r="T34" s="99"/>
    </row>
    <row r="35" spans="1:20" x14ac:dyDescent="0.25">
      <c r="A35" s="791">
        <v>16</v>
      </c>
      <c r="B35" s="97" t="s">
        <v>186</v>
      </c>
      <c r="C35" s="100" t="s">
        <v>430</v>
      </c>
      <c r="D35" s="99">
        <f t="shared" si="7"/>
        <v>236</v>
      </c>
      <c r="E35" s="99">
        <v>34</v>
      </c>
      <c r="F35" s="99">
        <v>13</v>
      </c>
      <c r="G35" s="99"/>
      <c r="H35" s="99"/>
      <c r="I35" s="99">
        <v>81</v>
      </c>
      <c r="J35" s="99">
        <v>36</v>
      </c>
      <c r="K35" s="99">
        <v>58</v>
      </c>
      <c r="L35" s="99">
        <v>14</v>
      </c>
      <c r="M35" s="99"/>
      <c r="N35" s="99"/>
      <c r="O35" s="99"/>
      <c r="P35" s="99"/>
      <c r="Q35" s="99"/>
      <c r="R35" s="99"/>
      <c r="S35" s="99"/>
      <c r="T35" s="99"/>
    </row>
    <row r="36" spans="1:20" x14ac:dyDescent="0.25">
      <c r="A36" s="791">
        <v>17</v>
      </c>
      <c r="B36" s="97" t="s">
        <v>190</v>
      </c>
      <c r="C36" s="100" t="s">
        <v>431</v>
      </c>
      <c r="D36" s="99">
        <f t="shared" si="7"/>
        <v>219</v>
      </c>
      <c r="E36" s="99">
        <v>32</v>
      </c>
      <c r="F36" s="99">
        <v>18</v>
      </c>
      <c r="G36" s="99"/>
      <c r="H36" s="99"/>
      <c r="I36" s="99">
        <v>41</v>
      </c>
      <c r="J36" s="99">
        <v>13</v>
      </c>
      <c r="K36" s="99">
        <v>115</v>
      </c>
      <c r="L36" s="99"/>
      <c r="M36" s="99"/>
      <c r="N36" s="99"/>
      <c r="O36" s="99"/>
      <c r="P36" s="99"/>
      <c r="Q36" s="99"/>
      <c r="R36" s="99"/>
      <c r="S36" s="99"/>
      <c r="T36" s="99"/>
    </row>
    <row r="37" spans="1:20" x14ac:dyDescent="0.25">
      <c r="A37" s="791">
        <v>18</v>
      </c>
      <c r="B37" s="97" t="s">
        <v>285</v>
      </c>
      <c r="C37" s="100" t="s">
        <v>797</v>
      </c>
      <c r="D37" s="99">
        <f t="shared" si="7"/>
        <v>189</v>
      </c>
      <c r="E37" s="99">
        <v>43</v>
      </c>
      <c r="F37" s="99">
        <v>22</v>
      </c>
      <c r="G37" s="99">
        <v>32</v>
      </c>
      <c r="H37" s="99">
        <v>20</v>
      </c>
      <c r="I37" s="99">
        <v>27</v>
      </c>
      <c r="J37" s="99">
        <v>14</v>
      </c>
      <c r="K37" s="99">
        <v>13</v>
      </c>
      <c r="L37" s="99"/>
      <c r="M37" s="99"/>
      <c r="N37" s="99"/>
      <c r="O37" s="99">
        <v>9</v>
      </c>
      <c r="P37" s="99">
        <v>9</v>
      </c>
      <c r="Q37" s="99"/>
      <c r="R37" s="99"/>
      <c r="S37" s="99"/>
      <c r="T37" s="99"/>
    </row>
    <row r="38" spans="1:20" x14ac:dyDescent="0.25">
      <c r="A38" s="791">
        <v>19</v>
      </c>
      <c r="B38" s="97" t="s">
        <v>102</v>
      </c>
      <c r="C38" s="100" t="s">
        <v>103</v>
      </c>
      <c r="D38" s="99">
        <f t="shared" si="7"/>
        <v>227</v>
      </c>
      <c r="E38" s="99">
        <v>26</v>
      </c>
      <c r="F38" s="99">
        <v>15</v>
      </c>
      <c r="G38" s="99">
        <v>9</v>
      </c>
      <c r="H38" s="99">
        <v>4</v>
      </c>
      <c r="I38" s="99">
        <v>45</v>
      </c>
      <c r="J38" s="99">
        <v>25</v>
      </c>
      <c r="K38" s="99">
        <v>73</v>
      </c>
      <c r="L38" s="99">
        <v>30</v>
      </c>
      <c r="M38" s="99"/>
      <c r="N38" s="99"/>
      <c r="O38" s="99"/>
      <c r="P38" s="99"/>
      <c r="Q38" s="99"/>
      <c r="R38" s="99"/>
      <c r="S38" s="99"/>
      <c r="T38" s="99"/>
    </row>
    <row r="39" spans="1:20" x14ac:dyDescent="0.25">
      <c r="A39" s="791">
        <v>20</v>
      </c>
      <c r="B39" s="97" t="s">
        <v>283</v>
      </c>
      <c r="C39" s="100" t="s">
        <v>432</v>
      </c>
      <c r="D39" s="99">
        <f t="shared" si="7"/>
        <v>319</v>
      </c>
      <c r="E39" s="99">
        <v>23</v>
      </c>
      <c r="F39" s="99">
        <v>45</v>
      </c>
      <c r="G39" s="99">
        <v>36</v>
      </c>
      <c r="H39" s="99">
        <v>35</v>
      </c>
      <c r="I39" s="99"/>
      <c r="J39" s="99"/>
      <c r="K39" s="99"/>
      <c r="L39" s="99"/>
      <c r="M39" s="99"/>
      <c r="N39" s="99"/>
      <c r="O39" s="99">
        <v>90</v>
      </c>
      <c r="P39" s="99">
        <v>90</v>
      </c>
      <c r="Q39" s="99"/>
      <c r="R39" s="99"/>
      <c r="S39" s="99"/>
      <c r="T39" s="99"/>
    </row>
    <row r="40" spans="1:20" x14ac:dyDescent="0.25">
      <c r="A40" s="791">
        <v>21</v>
      </c>
      <c r="B40" s="97" t="s">
        <v>162</v>
      </c>
      <c r="C40" s="100" t="s">
        <v>433</v>
      </c>
      <c r="D40" s="99">
        <f t="shared" si="7"/>
        <v>148</v>
      </c>
      <c r="E40" s="99">
        <v>30</v>
      </c>
      <c r="F40" s="99">
        <v>12</v>
      </c>
      <c r="G40" s="99">
        <v>31</v>
      </c>
      <c r="H40" s="99">
        <v>9</v>
      </c>
      <c r="I40" s="99">
        <v>50</v>
      </c>
      <c r="J40" s="99">
        <v>10</v>
      </c>
      <c r="K40" s="99">
        <v>5</v>
      </c>
      <c r="L40" s="99">
        <v>1</v>
      </c>
      <c r="M40" s="99"/>
      <c r="N40" s="99"/>
      <c r="O40" s="99"/>
      <c r="P40" s="99"/>
      <c r="Q40" s="99"/>
      <c r="R40" s="99"/>
      <c r="S40" s="99"/>
      <c r="T40" s="99"/>
    </row>
    <row r="41" spans="1:20" x14ac:dyDescent="0.25">
      <c r="A41" s="791">
        <v>22</v>
      </c>
      <c r="B41" s="97" t="s">
        <v>164</v>
      </c>
      <c r="C41" s="100" t="s">
        <v>434</v>
      </c>
      <c r="D41" s="99">
        <f t="shared" si="7"/>
        <v>167</v>
      </c>
      <c r="E41" s="99">
        <v>32</v>
      </c>
      <c r="F41" s="99">
        <v>18</v>
      </c>
      <c r="G41" s="99">
        <v>26</v>
      </c>
      <c r="H41" s="99">
        <v>26</v>
      </c>
      <c r="I41" s="99">
        <v>32</v>
      </c>
      <c r="J41" s="99">
        <v>11</v>
      </c>
      <c r="K41" s="99">
        <v>12</v>
      </c>
      <c r="L41" s="99">
        <v>10</v>
      </c>
      <c r="M41" s="99"/>
      <c r="N41" s="99"/>
      <c r="O41" s="99"/>
      <c r="P41" s="99"/>
      <c r="Q41" s="99"/>
      <c r="R41" s="99"/>
      <c r="S41" s="99"/>
      <c r="T41" s="99"/>
    </row>
    <row r="42" spans="1:20" x14ac:dyDescent="0.25">
      <c r="A42" s="791">
        <v>23</v>
      </c>
      <c r="B42" s="97" t="s">
        <v>166</v>
      </c>
      <c r="C42" s="100" t="s">
        <v>435</v>
      </c>
      <c r="D42" s="99">
        <f t="shared" si="7"/>
        <v>273</v>
      </c>
      <c r="E42" s="99">
        <v>55</v>
      </c>
      <c r="F42" s="99">
        <v>28</v>
      </c>
      <c r="G42" s="99">
        <v>44</v>
      </c>
      <c r="H42" s="99">
        <v>12</v>
      </c>
      <c r="I42" s="99">
        <v>12</v>
      </c>
      <c r="J42" s="99">
        <v>18</v>
      </c>
      <c r="K42" s="99">
        <v>70</v>
      </c>
      <c r="L42" s="99">
        <v>34</v>
      </c>
      <c r="M42" s="99"/>
      <c r="N42" s="99"/>
      <c r="O42" s="99"/>
      <c r="P42" s="99"/>
      <c r="Q42" s="99"/>
      <c r="R42" s="99"/>
      <c r="S42" s="99"/>
      <c r="T42" s="99"/>
    </row>
    <row r="43" spans="1:20" x14ac:dyDescent="0.25">
      <c r="A43" s="791">
        <v>24</v>
      </c>
      <c r="B43" s="97" t="s">
        <v>282</v>
      </c>
      <c r="C43" s="100" t="s">
        <v>783</v>
      </c>
      <c r="D43" s="99">
        <f t="shared" si="7"/>
        <v>992</v>
      </c>
      <c r="E43" s="99">
        <v>202</v>
      </c>
      <c r="F43" s="99">
        <v>86</v>
      </c>
      <c r="G43" s="99">
        <v>64</v>
      </c>
      <c r="H43" s="99">
        <v>75</v>
      </c>
      <c r="I43" s="99">
        <v>293</v>
      </c>
      <c r="J43" s="99">
        <v>272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</row>
    <row r="44" spans="1:20" x14ac:dyDescent="0.25">
      <c r="A44" s="791">
        <v>25</v>
      </c>
      <c r="B44" s="97" t="s">
        <v>268</v>
      </c>
      <c r="C44" s="100" t="s">
        <v>436</v>
      </c>
      <c r="D44" s="99">
        <f t="shared" si="7"/>
        <v>516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>
        <v>258</v>
      </c>
      <c r="R44" s="99">
        <v>258</v>
      </c>
      <c r="S44" s="99"/>
      <c r="T44" s="99"/>
    </row>
    <row r="45" spans="1:20" x14ac:dyDescent="0.25">
      <c r="A45" s="791">
        <v>26</v>
      </c>
      <c r="B45" s="97" t="s">
        <v>270</v>
      </c>
      <c r="C45" s="100" t="s">
        <v>271</v>
      </c>
      <c r="D45" s="99">
        <f>SUM(E45:T45)</f>
        <v>198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>
        <v>198</v>
      </c>
      <c r="Q45" s="99"/>
      <c r="R45" s="99"/>
      <c r="S45" s="99"/>
      <c r="T45" s="99"/>
    </row>
    <row r="46" spans="1:20" x14ac:dyDescent="0.25">
      <c r="A46" s="791">
        <v>27</v>
      </c>
      <c r="B46" s="97" t="s">
        <v>208</v>
      </c>
      <c r="C46" s="100" t="s">
        <v>437</v>
      </c>
      <c r="D46" s="99">
        <f t="shared" si="7"/>
        <v>218</v>
      </c>
      <c r="E46" s="99">
        <f>119-48</f>
        <v>71</v>
      </c>
      <c r="F46" s="99">
        <f>52-20</f>
        <v>32</v>
      </c>
      <c r="G46" s="99">
        <f>28-8</f>
        <v>20</v>
      </c>
      <c r="H46" s="99">
        <f>23-4</f>
        <v>19</v>
      </c>
      <c r="I46" s="99">
        <f>53-12</f>
        <v>41</v>
      </c>
      <c r="J46" s="99">
        <f>43-8</f>
        <v>35</v>
      </c>
      <c r="K46" s="99"/>
      <c r="L46" s="99"/>
      <c r="M46" s="99"/>
      <c r="N46" s="99"/>
      <c r="O46" s="99"/>
      <c r="P46" s="99"/>
      <c r="Q46" s="99"/>
      <c r="R46" s="99"/>
      <c r="S46" s="99"/>
      <c r="T46" s="99"/>
    </row>
    <row r="47" spans="1:20" x14ac:dyDescent="0.25">
      <c r="A47" s="791">
        <v>28</v>
      </c>
      <c r="B47" s="97" t="s">
        <v>142</v>
      </c>
      <c r="C47" s="100" t="s">
        <v>143</v>
      </c>
      <c r="D47" s="99">
        <f t="shared" si="7"/>
        <v>166</v>
      </c>
      <c r="E47" s="99">
        <v>30</v>
      </c>
      <c r="F47" s="99">
        <v>15</v>
      </c>
      <c r="G47" s="99">
        <v>12</v>
      </c>
      <c r="H47" s="99">
        <v>12</v>
      </c>
      <c r="I47" s="99">
        <v>12</v>
      </c>
      <c r="J47" s="99">
        <v>4</v>
      </c>
      <c r="K47" s="99">
        <v>60</v>
      </c>
      <c r="L47" s="99">
        <v>21</v>
      </c>
      <c r="M47" s="99"/>
      <c r="N47" s="99"/>
      <c r="O47" s="99"/>
      <c r="P47" s="99"/>
      <c r="Q47" s="99"/>
      <c r="R47" s="99"/>
      <c r="S47" s="99"/>
      <c r="T47" s="99"/>
    </row>
    <row r="48" spans="1:20" x14ac:dyDescent="0.25">
      <c r="A48" s="791">
        <v>29</v>
      </c>
      <c r="B48" s="97" t="s">
        <v>118</v>
      </c>
      <c r="C48" s="100" t="s">
        <v>119</v>
      </c>
      <c r="D48" s="99">
        <f t="shared" si="7"/>
        <v>60</v>
      </c>
      <c r="E48" s="99">
        <v>12</v>
      </c>
      <c r="F48" s="99">
        <v>6</v>
      </c>
      <c r="G48" s="99">
        <v>9</v>
      </c>
      <c r="H48" s="99">
        <v>3</v>
      </c>
      <c r="I48" s="99">
        <v>8</v>
      </c>
      <c r="J48" s="99">
        <v>2</v>
      </c>
      <c r="K48" s="99">
        <v>10</v>
      </c>
      <c r="L48" s="99">
        <v>10</v>
      </c>
      <c r="M48" s="99"/>
      <c r="N48" s="99"/>
      <c r="O48" s="99"/>
      <c r="P48" s="99"/>
      <c r="Q48" s="99"/>
      <c r="R48" s="99"/>
      <c r="S48" s="99"/>
      <c r="T48" s="99"/>
    </row>
    <row r="49" spans="1:20" s="96" customFormat="1" x14ac:dyDescent="0.25">
      <c r="A49" s="92">
        <v>30</v>
      </c>
      <c r="B49" s="93" t="s">
        <v>16</v>
      </c>
      <c r="C49" s="94" t="s">
        <v>17</v>
      </c>
      <c r="D49" s="95">
        <f t="shared" si="7"/>
        <v>337</v>
      </c>
      <c r="E49" s="95">
        <f>E50+E51</f>
        <v>45</v>
      </c>
      <c r="F49" s="95">
        <f t="shared" ref="F49:L49" si="9">F50+F51</f>
        <v>60</v>
      </c>
      <c r="G49" s="95">
        <f t="shared" si="9"/>
        <v>27</v>
      </c>
      <c r="H49" s="95">
        <f t="shared" si="9"/>
        <v>12</v>
      </c>
      <c r="I49" s="95">
        <f t="shared" si="9"/>
        <v>65</v>
      </c>
      <c r="J49" s="95">
        <f t="shared" si="9"/>
        <v>40</v>
      </c>
      <c r="K49" s="95">
        <f t="shared" si="9"/>
        <v>76</v>
      </c>
      <c r="L49" s="95">
        <f t="shared" si="9"/>
        <v>12</v>
      </c>
      <c r="M49" s="95"/>
      <c r="N49" s="95"/>
      <c r="O49" s="95"/>
      <c r="P49" s="95"/>
      <c r="Q49" s="95"/>
      <c r="R49" s="95"/>
      <c r="S49" s="95"/>
      <c r="T49" s="95"/>
    </row>
    <row r="50" spans="1:20" x14ac:dyDescent="0.25">
      <c r="A50" s="791"/>
      <c r="B50" s="97"/>
      <c r="C50" s="98" t="s">
        <v>426</v>
      </c>
      <c r="D50" s="99">
        <f t="shared" si="7"/>
        <v>307</v>
      </c>
      <c r="E50" s="99">
        <v>40</v>
      </c>
      <c r="F50" s="99">
        <v>60</v>
      </c>
      <c r="G50" s="99">
        <v>27</v>
      </c>
      <c r="H50" s="99">
        <v>12</v>
      </c>
      <c r="I50" s="99">
        <f>50</f>
        <v>50</v>
      </c>
      <c r="J50" s="99">
        <v>40</v>
      </c>
      <c r="K50" s="99">
        <v>66</v>
      </c>
      <c r="L50" s="99">
        <v>12</v>
      </c>
      <c r="M50" s="99"/>
      <c r="N50" s="99"/>
      <c r="O50" s="99"/>
      <c r="P50" s="99"/>
      <c r="Q50" s="99"/>
      <c r="R50" s="99"/>
      <c r="S50" s="99"/>
      <c r="T50" s="99"/>
    </row>
    <row r="51" spans="1:20" x14ac:dyDescent="0.25">
      <c r="A51" s="791"/>
      <c r="B51" s="97"/>
      <c r="C51" s="98" t="s">
        <v>427</v>
      </c>
      <c r="D51" s="99">
        <f t="shared" si="7"/>
        <v>30</v>
      </c>
      <c r="E51" s="99">
        <v>5</v>
      </c>
      <c r="F51" s="99"/>
      <c r="G51" s="99"/>
      <c r="H51" s="99"/>
      <c r="I51" s="99">
        <v>15</v>
      </c>
      <c r="J51" s="99"/>
      <c r="K51" s="99">
        <v>10</v>
      </c>
      <c r="L51" s="99"/>
      <c r="M51" s="99"/>
      <c r="N51" s="99"/>
      <c r="O51" s="99"/>
      <c r="P51" s="99"/>
      <c r="Q51" s="99"/>
      <c r="R51" s="99"/>
      <c r="S51" s="99"/>
      <c r="T51" s="99"/>
    </row>
    <row r="52" spans="1:20" x14ac:dyDescent="0.25">
      <c r="A52" s="92">
        <v>31</v>
      </c>
      <c r="B52" s="799" t="s">
        <v>106</v>
      </c>
      <c r="C52" s="800" t="s">
        <v>107</v>
      </c>
      <c r="D52" s="95">
        <f t="shared" si="7"/>
        <v>192</v>
      </c>
      <c r="E52" s="95">
        <f>E53+E54</f>
        <v>30</v>
      </c>
      <c r="F52" s="95">
        <f t="shared" ref="F52:L52" si="10">F53+F54</f>
        <v>13</v>
      </c>
      <c r="G52" s="95">
        <f t="shared" si="10"/>
        <v>20</v>
      </c>
      <c r="H52" s="95">
        <f t="shared" si="10"/>
        <v>11</v>
      </c>
      <c r="I52" s="95">
        <f t="shared" si="10"/>
        <v>36</v>
      </c>
      <c r="J52" s="95">
        <f t="shared" si="10"/>
        <v>12</v>
      </c>
      <c r="K52" s="95">
        <f t="shared" si="10"/>
        <v>45</v>
      </c>
      <c r="L52" s="95">
        <f t="shared" si="10"/>
        <v>25</v>
      </c>
      <c r="M52" s="95"/>
      <c r="N52" s="95"/>
      <c r="O52" s="95"/>
      <c r="P52" s="95"/>
      <c r="Q52" s="95"/>
      <c r="R52" s="95"/>
      <c r="S52" s="95"/>
      <c r="T52" s="95"/>
    </row>
    <row r="53" spans="1:20" x14ac:dyDescent="0.25">
      <c r="A53" s="791"/>
      <c r="B53" s="101"/>
      <c r="C53" s="98" t="s">
        <v>426</v>
      </c>
      <c r="D53" s="99">
        <f t="shared" si="7"/>
        <v>162</v>
      </c>
      <c r="E53" s="99">
        <v>25</v>
      </c>
      <c r="F53" s="99">
        <v>13</v>
      </c>
      <c r="G53" s="99">
        <v>20</v>
      </c>
      <c r="H53" s="99">
        <v>11</v>
      </c>
      <c r="I53" s="99">
        <v>21</v>
      </c>
      <c r="J53" s="99">
        <v>12</v>
      </c>
      <c r="K53" s="99">
        <v>35</v>
      </c>
      <c r="L53" s="99">
        <v>25</v>
      </c>
      <c r="M53" s="99"/>
      <c r="N53" s="99"/>
      <c r="O53" s="99"/>
      <c r="P53" s="99"/>
      <c r="Q53" s="99"/>
      <c r="R53" s="99"/>
      <c r="S53" s="99"/>
      <c r="T53" s="99"/>
    </row>
    <row r="54" spans="1:20" x14ac:dyDescent="0.25">
      <c r="A54" s="791"/>
      <c r="B54" s="101"/>
      <c r="C54" s="98" t="s">
        <v>427</v>
      </c>
      <c r="D54" s="99">
        <f t="shared" si="7"/>
        <v>30</v>
      </c>
      <c r="E54" s="99">
        <v>5</v>
      </c>
      <c r="F54" s="99"/>
      <c r="G54" s="99"/>
      <c r="H54" s="99"/>
      <c r="I54" s="99">
        <v>15</v>
      </c>
      <c r="J54" s="99"/>
      <c r="K54" s="99">
        <v>10</v>
      </c>
      <c r="L54" s="99"/>
      <c r="M54" s="99"/>
      <c r="N54" s="99"/>
      <c r="O54" s="99"/>
      <c r="P54" s="99"/>
      <c r="Q54" s="99"/>
      <c r="R54" s="99"/>
      <c r="S54" s="99"/>
      <c r="T54" s="99"/>
    </row>
    <row r="55" spans="1:20" x14ac:dyDescent="0.25">
      <c r="A55" s="791">
        <v>32</v>
      </c>
      <c r="B55" s="101" t="s">
        <v>86</v>
      </c>
      <c r="C55" s="102" t="s">
        <v>87</v>
      </c>
      <c r="D55" s="99">
        <f t="shared" si="7"/>
        <v>101</v>
      </c>
      <c r="E55" s="99">
        <v>20</v>
      </c>
      <c r="F55" s="99">
        <v>10</v>
      </c>
      <c r="G55" s="99">
        <v>9</v>
      </c>
      <c r="H55" s="99">
        <v>4</v>
      </c>
      <c r="I55" s="99">
        <v>11</v>
      </c>
      <c r="J55" s="99">
        <v>5</v>
      </c>
      <c r="K55" s="99">
        <v>33</v>
      </c>
      <c r="L55" s="99">
        <v>9</v>
      </c>
      <c r="M55" s="99"/>
      <c r="N55" s="99"/>
      <c r="O55" s="99"/>
      <c r="P55" s="99"/>
      <c r="Q55" s="99"/>
      <c r="R55" s="99"/>
      <c r="S55" s="99"/>
      <c r="T55" s="99"/>
    </row>
    <row r="56" spans="1:20" x14ac:dyDescent="0.25">
      <c r="A56" s="791">
        <v>33</v>
      </c>
      <c r="B56" s="101" t="s">
        <v>112</v>
      </c>
      <c r="C56" s="102" t="s">
        <v>113</v>
      </c>
      <c r="D56" s="99">
        <f t="shared" si="7"/>
        <v>62</v>
      </c>
      <c r="E56" s="99">
        <v>15</v>
      </c>
      <c r="F56" s="99">
        <v>6</v>
      </c>
      <c r="G56" s="99">
        <v>3</v>
      </c>
      <c r="H56" s="99">
        <v>3</v>
      </c>
      <c r="I56" s="99">
        <v>14</v>
      </c>
      <c r="J56" s="99">
        <v>8</v>
      </c>
      <c r="K56" s="99">
        <v>10</v>
      </c>
      <c r="L56" s="99">
        <v>3</v>
      </c>
      <c r="M56" s="99"/>
      <c r="N56" s="99"/>
      <c r="O56" s="99"/>
      <c r="P56" s="99"/>
      <c r="Q56" s="99"/>
      <c r="R56" s="99"/>
      <c r="S56" s="99"/>
      <c r="T56" s="99"/>
    </row>
    <row r="57" spans="1:20" x14ac:dyDescent="0.25">
      <c r="A57" s="791">
        <v>34</v>
      </c>
      <c r="B57" s="103" t="s">
        <v>124</v>
      </c>
      <c r="C57" s="102" t="s">
        <v>125</v>
      </c>
      <c r="D57" s="99">
        <f t="shared" si="7"/>
        <v>64</v>
      </c>
      <c r="E57" s="99">
        <v>10</v>
      </c>
      <c r="F57" s="99">
        <v>7</v>
      </c>
      <c r="G57" s="99">
        <v>6</v>
      </c>
      <c r="H57" s="99">
        <v>6</v>
      </c>
      <c r="I57" s="99">
        <v>7</v>
      </c>
      <c r="J57" s="99">
        <v>6</v>
      </c>
      <c r="K57" s="99">
        <v>15</v>
      </c>
      <c r="L57" s="99">
        <v>7</v>
      </c>
      <c r="M57" s="99"/>
      <c r="N57" s="99"/>
      <c r="O57" s="99"/>
      <c r="P57" s="99"/>
      <c r="Q57" s="99"/>
      <c r="R57" s="99"/>
      <c r="S57" s="99"/>
      <c r="T57" s="99"/>
    </row>
    <row r="58" spans="1:20" x14ac:dyDescent="0.25">
      <c r="A58" s="791">
        <v>35</v>
      </c>
      <c r="B58" s="103" t="s">
        <v>24</v>
      </c>
      <c r="C58" s="102" t="s">
        <v>25</v>
      </c>
      <c r="D58" s="99">
        <f t="shared" si="7"/>
        <v>30</v>
      </c>
      <c r="E58" s="99">
        <v>3</v>
      </c>
      <c r="F58" s="99">
        <v>3</v>
      </c>
      <c r="G58" s="99">
        <v>3</v>
      </c>
      <c r="H58" s="99">
        <v>3</v>
      </c>
      <c r="I58" s="99">
        <v>9</v>
      </c>
      <c r="J58" s="99">
        <v>9</v>
      </c>
      <c r="K58" s="99"/>
      <c r="L58" s="99"/>
      <c r="M58" s="99"/>
      <c r="N58" s="99"/>
      <c r="O58" s="99"/>
      <c r="P58" s="99"/>
      <c r="Q58" s="99"/>
      <c r="R58" s="99"/>
      <c r="S58" s="99"/>
      <c r="T58" s="99"/>
    </row>
    <row r="59" spans="1:20" x14ac:dyDescent="0.25">
      <c r="A59" s="791">
        <v>36</v>
      </c>
      <c r="B59" s="549" t="s">
        <v>128</v>
      </c>
      <c r="C59" s="102" t="s">
        <v>129</v>
      </c>
      <c r="D59" s="99">
        <f t="shared" si="7"/>
        <v>100</v>
      </c>
      <c r="E59" s="99">
        <v>22</v>
      </c>
      <c r="F59" s="99">
        <v>10</v>
      </c>
      <c r="G59" s="99">
        <v>15</v>
      </c>
      <c r="H59" s="99">
        <v>7</v>
      </c>
      <c r="I59" s="99">
        <v>22</v>
      </c>
      <c r="J59" s="99">
        <v>6</v>
      </c>
      <c r="K59" s="99">
        <v>13</v>
      </c>
      <c r="L59" s="99">
        <v>5</v>
      </c>
      <c r="M59" s="99"/>
      <c r="N59" s="99"/>
      <c r="O59" s="99"/>
      <c r="P59" s="99"/>
      <c r="Q59" s="99"/>
      <c r="R59" s="99"/>
      <c r="S59" s="99"/>
      <c r="T59" s="99"/>
    </row>
    <row r="60" spans="1:20" s="96" customFormat="1" x14ac:dyDescent="0.25">
      <c r="A60" s="92">
        <v>37</v>
      </c>
      <c r="B60" s="801" t="s">
        <v>28</v>
      </c>
      <c r="C60" s="800" t="s">
        <v>29</v>
      </c>
      <c r="D60" s="95">
        <f t="shared" si="7"/>
        <v>30</v>
      </c>
      <c r="E60" s="95">
        <f>E61</f>
        <v>15</v>
      </c>
      <c r="F60" s="95"/>
      <c r="G60" s="95"/>
      <c r="H60" s="95"/>
      <c r="I60" s="95">
        <f>I61</f>
        <v>15</v>
      </c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1:20" x14ac:dyDescent="0.25">
      <c r="A61" s="791"/>
      <c r="B61" s="549"/>
      <c r="C61" s="98" t="s">
        <v>427</v>
      </c>
      <c r="D61" s="99">
        <f t="shared" si="7"/>
        <v>30</v>
      </c>
      <c r="E61" s="99">
        <v>15</v>
      </c>
      <c r="F61" s="99"/>
      <c r="G61" s="99"/>
      <c r="H61" s="99"/>
      <c r="I61" s="99">
        <v>15</v>
      </c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</row>
    <row r="62" spans="1:20" s="96" customFormat="1" x14ac:dyDescent="0.25">
      <c r="A62" s="92">
        <v>38</v>
      </c>
      <c r="B62" s="801" t="s">
        <v>18</v>
      </c>
      <c r="C62" s="800" t="s">
        <v>19</v>
      </c>
      <c r="D62" s="95">
        <f t="shared" si="7"/>
        <v>30</v>
      </c>
      <c r="E62" s="95">
        <f>E63</f>
        <v>10</v>
      </c>
      <c r="F62" s="95"/>
      <c r="G62" s="95"/>
      <c r="H62" s="95"/>
      <c r="I62" s="95">
        <f>I63</f>
        <v>10</v>
      </c>
      <c r="J62" s="95"/>
      <c r="K62" s="95">
        <f>K63</f>
        <v>10</v>
      </c>
      <c r="L62" s="95"/>
      <c r="M62" s="95"/>
      <c r="N62" s="95"/>
      <c r="O62" s="95"/>
      <c r="P62" s="95"/>
      <c r="Q62" s="95"/>
      <c r="R62" s="95"/>
      <c r="S62" s="95"/>
      <c r="T62" s="95"/>
    </row>
    <row r="63" spans="1:20" x14ac:dyDescent="0.25">
      <c r="A63" s="791"/>
      <c r="B63" s="549"/>
      <c r="C63" s="98" t="s">
        <v>427</v>
      </c>
      <c r="D63" s="99">
        <f t="shared" si="7"/>
        <v>30</v>
      </c>
      <c r="E63" s="99">
        <v>10</v>
      </c>
      <c r="F63" s="99"/>
      <c r="G63" s="99"/>
      <c r="H63" s="99"/>
      <c r="I63" s="99">
        <v>10</v>
      </c>
      <c r="J63" s="99"/>
      <c r="K63" s="99">
        <v>10</v>
      </c>
      <c r="L63" s="99"/>
      <c r="M63" s="99"/>
      <c r="N63" s="99"/>
      <c r="O63" s="99"/>
      <c r="P63" s="99"/>
      <c r="Q63" s="99"/>
      <c r="R63" s="99"/>
      <c r="S63" s="99"/>
      <c r="T63" s="99"/>
    </row>
    <row r="64" spans="1:20" s="96" customFormat="1" x14ac:dyDescent="0.25">
      <c r="A64" s="92"/>
      <c r="B64" s="94"/>
      <c r="C64" s="94" t="s">
        <v>438</v>
      </c>
      <c r="D64" s="95">
        <f>D8+D12+D15+D16+D17+D18+D19+D22+D25+D26+D27+D28+D29+D32+D33+D34+D35+D36+D37+D38+D39+D40+D41+D42+D43+D44+D45+D46+D47+D48+D49+D52+D55+D56+D57+D58+D59+D60+D62</f>
        <v>12931</v>
      </c>
      <c r="E64" s="95">
        <f t="shared" ref="E64:T64" si="11">E8+E12+E15+E16+E17+E18+E19+E22+E25+E26+E27+E28+E29+E32+E33+E34+E35+E36+E37+E38+E39+E40+E41+E42+E43+E44+E45+E46+E47+E48+E49+E52+E55+E56+E57+E58+E59+E60+E62</f>
        <v>3171</v>
      </c>
      <c r="F64" s="95">
        <f t="shared" si="11"/>
        <v>905</v>
      </c>
      <c r="G64" s="95">
        <f t="shared" si="11"/>
        <v>986</v>
      </c>
      <c r="H64" s="95">
        <f t="shared" si="11"/>
        <v>659</v>
      </c>
      <c r="I64" s="95">
        <f t="shared" si="11"/>
        <v>2840</v>
      </c>
      <c r="J64" s="95">
        <f t="shared" si="11"/>
        <v>1478</v>
      </c>
      <c r="K64" s="95">
        <f t="shared" si="11"/>
        <v>1516</v>
      </c>
      <c r="L64" s="95">
        <f t="shared" si="11"/>
        <v>339</v>
      </c>
      <c r="M64" s="95">
        <f t="shared" si="11"/>
        <v>0</v>
      </c>
      <c r="N64" s="95">
        <f t="shared" si="11"/>
        <v>0</v>
      </c>
      <c r="O64" s="95">
        <f t="shared" si="11"/>
        <v>99</v>
      </c>
      <c r="P64" s="95">
        <f t="shared" si="11"/>
        <v>297</v>
      </c>
      <c r="Q64" s="95">
        <f t="shared" si="11"/>
        <v>304</v>
      </c>
      <c r="R64" s="95">
        <f t="shared" si="11"/>
        <v>258</v>
      </c>
      <c r="S64" s="95">
        <f t="shared" si="11"/>
        <v>58</v>
      </c>
      <c r="T64" s="95">
        <f t="shared" si="11"/>
        <v>21</v>
      </c>
    </row>
    <row r="65" spans="1:20" x14ac:dyDescent="0.25">
      <c r="A65" s="104"/>
      <c r="B65" s="104"/>
      <c r="C65" s="105" t="s">
        <v>426</v>
      </c>
      <c r="D65" s="99">
        <f>D9+D10+D13+D20+D23+D27+D28+D30+D32+D33+D34+D35+D36+D37+D38+D39+D40+D41+D42+D43+D44+D45+D46+D47+D48+D50+D53+D55+D56+D57+D58+D59</f>
        <v>9698</v>
      </c>
      <c r="E65" s="99">
        <f t="shared" ref="E65:T65" si="12">E9+E10+E13+E20+E23+E27+E28+E30+E32+E33+E34+E35+E36+E37+E38+E39+E40+E41+E42+E43+E44+E45+E46+E47+E48+E50+E53+E55+E56+E57+E58+E59</f>
        <v>1636</v>
      </c>
      <c r="F65" s="99">
        <f t="shared" si="12"/>
        <v>753</v>
      </c>
      <c r="G65" s="99">
        <f t="shared" si="12"/>
        <v>951</v>
      </c>
      <c r="H65" s="99">
        <f t="shared" si="12"/>
        <v>652</v>
      </c>
      <c r="I65" s="99">
        <f t="shared" si="12"/>
        <v>2193</v>
      </c>
      <c r="J65" s="99">
        <f t="shared" si="12"/>
        <v>1408</v>
      </c>
      <c r="K65" s="99">
        <f t="shared" si="12"/>
        <v>843</v>
      </c>
      <c r="L65" s="99">
        <f t="shared" si="12"/>
        <v>271</v>
      </c>
      <c r="M65" s="99">
        <f t="shared" si="12"/>
        <v>0</v>
      </c>
      <c r="N65" s="99">
        <f t="shared" si="12"/>
        <v>0</v>
      </c>
      <c r="O65" s="99">
        <f t="shared" si="12"/>
        <v>99</v>
      </c>
      <c r="P65" s="99">
        <f t="shared" si="12"/>
        <v>297</v>
      </c>
      <c r="Q65" s="99">
        <f t="shared" si="12"/>
        <v>258</v>
      </c>
      <c r="R65" s="99">
        <f t="shared" si="12"/>
        <v>258</v>
      </c>
      <c r="S65" s="99">
        <f t="shared" si="12"/>
        <v>58</v>
      </c>
      <c r="T65" s="99">
        <f t="shared" si="12"/>
        <v>21</v>
      </c>
    </row>
    <row r="66" spans="1:20" x14ac:dyDescent="0.25">
      <c r="A66" s="104"/>
      <c r="B66" s="104"/>
      <c r="C66" s="105" t="s">
        <v>427</v>
      </c>
      <c r="D66" s="99">
        <f>D11+D14+D15+D16+D17+D18+D21+D24+D25+D26+D31+D51+D54+D61+D63</f>
        <v>3233</v>
      </c>
      <c r="E66" s="99">
        <f t="shared" ref="E66:T66" si="13">E11+E14+E15+E16+E17+E18+E21+E24+E25+E26+E31+E51+E54+E61+E63</f>
        <v>1535</v>
      </c>
      <c r="F66" s="99">
        <f t="shared" si="13"/>
        <v>152</v>
      </c>
      <c r="G66" s="99">
        <f t="shared" si="13"/>
        <v>35</v>
      </c>
      <c r="H66" s="99">
        <f t="shared" si="13"/>
        <v>7</v>
      </c>
      <c r="I66" s="99">
        <f t="shared" si="13"/>
        <v>647</v>
      </c>
      <c r="J66" s="99">
        <f t="shared" si="13"/>
        <v>70</v>
      </c>
      <c r="K66" s="99">
        <f t="shared" si="13"/>
        <v>673</v>
      </c>
      <c r="L66" s="99">
        <f t="shared" si="13"/>
        <v>68</v>
      </c>
      <c r="M66" s="99">
        <f t="shared" si="13"/>
        <v>0</v>
      </c>
      <c r="N66" s="99">
        <f t="shared" si="13"/>
        <v>0</v>
      </c>
      <c r="O66" s="99">
        <f t="shared" si="13"/>
        <v>0</v>
      </c>
      <c r="P66" s="99">
        <f t="shared" si="13"/>
        <v>0</v>
      </c>
      <c r="Q66" s="99">
        <f t="shared" si="13"/>
        <v>46</v>
      </c>
      <c r="R66" s="99">
        <f t="shared" si="13"/>
        <v>0</v>
      </c>
      <c r="S66" s="99">
        <f t="shared" si="13"/>
        <v>0</v>
      </c>
      <c r="T66" s="99">
        <f t="shared" si="13"/>
        <v>0</v>
      </c>
    </row>
    <row r="70" spans="1:20" x14ac:dyDescent="0.25">
      <c r="D70" s="803"/>
      <c r="E70" s="803"/>
      <c r="F70" s="803"/>
      <c r="G70" s="803"/>
      <c r="H70" s="803"/>
      <c r="I70" s="803"/>
      <c r="J70" s="803"/>
      <c r="K70" s="803"/>
      <c r="L70" s="803"/>
      <c r="M70" s="803"/>
      <c r="N70" s="803"/>
      <c r="O70" s="803"/>
      <c r="P70" s="803"/>
      <c r="Q70" s="803"/>
      <c r="R70" s="803"/>
      <c r="S70" s="803"/>
      <c r="T70" s="803"/>
    </row>
  </sheetData>
  <mergeCells count="14">
    <mergeCell ref="M5:N5"/>
    <mergeCell ref="O5:P5"/>
    <mergeCell ref="Q5:R5"/>
    <mergeCell ref="S5:T5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</mergeCells>
  <dataValidations count="2"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6:H26 J26 L26:N26 R25:T25 L15:S15 M42:N42">
      <formula1>MAX(#REF!)*1.2&gt;=#REF!</formula1>
      <formula2>0</formula2>
    </dataValidation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6 I26 K26 M16:T18 E16:L17"/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zoomScale="90" zoomScaleNormal="90" workbookViewId="0">
      <pane xSplit="3" ySplit="11" topLeftCell="E141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AF27" sqref="AF27"/>
    </sheetView>
  </sheetViews>
  <sheetFormatPr defaultColWidth="9.140625" defaultRowHeight="12" x14ac:dyDescent="0.2"/>
  <cols>
    <col min="1" max="1" width="5.85546875" style="108" customWidth="1"/>
    <col min="2" max="2" width="9.140625" style="108"/>
    <col min="3" max="3" width="32.5703125" style="108" customWidth="1"/>
    <col min="4" max="4" width="13.140625" style="108" customWidth="1"/>
    <col min="5" max="5" width="9.85546875" style="108" customWidth="1"/>
    <col min="6" max="6" width="15.42578125" style="108" customWidth="1"/>
    <col min="7" max="7" width="9.5703125" style="108" customWidth="1"/>
    <col min="8" max="8" width="12.42578125" style="108" customWidth="1"/>
    <col min="9" max="9" width="10.7109375" style="108" customWidth="1"/>
    <col min="10" max="10" width="12.85546875" style="108" customWidth="1"/>
    <col min="11" max="11" width="9.42578125" style="108" customWidth="1"/>
    <col min="12" max="12" width="10.140625" style="108" customWidth="1"/>
    <col min="13" max="13" width="7.5703125" style="108" customWidth="1"/>
    <col min="14" max="14" width="15.5703125" style="108" customWidth="1"/>
    <col min="15" max="15" width="16.85546875" style="108" customWidth="1"/>
    <col min="16" max="16" width="9" style="108" customWidth="1"/>
    <col min="17" max="18" width="8.5703125" style="108" customWidth="1"/>
    <col min="19" max="19" width="10.85546875" style="108" customWidth="1"/>
    <col min="20" max="20" width="26" style="108" customWidth="1"/>
    <col min="21" max="21" width="9.5703125" style="108" customWidth="1"/>
    <col min="22" max="23" width="12" style="108" customWidth="1"/>
    <col min="24" max="24" width="3.85546875" style="108" customWidth="1"/>
    <col min="25" max="16384" width="9.140625" style="108"/>
  </cols>
  <sheetData>
    <row r="1" spans="1:23" ht="22.5" customHeight="1" x14ac:dyDescent="0.2">
      <c r="A1" s="908" t="s">
        <v>439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8"/>
      <c r="Q1" s="908"/>
      <c r="R1" s="908"/>
      <c r="S1" s="908"/>
      <c r="T1" s="908"/>
      <c r="U1" s="908"/>
      <c r="V1" s="908"/>
      <c r="W1" s="908"/>
    </row>
    <row r="2" spans="1:23" ht="20.25" customHeight="1" x14ac:dyDescent="0.2">
      <c r="A2" s="909" t="s">
        <v>0</v>
      </c>
      <c r="B2" s="910" t="s">
        <v>326</v>
      </c>
      <c r="C2" s="909" t="s">
        <v>309</v>
      </c>
      <c r="D2" s="909" t="s">
        <v>440</v>
      </c>
      <c r="E2" s="909"/>
      <c r="F2" s="909"/>
      <c r="G2" s="909"/>
      <c r="H2" s="909"/>
      <c r="I2" s="909"/>
      <c r="J2" s="909"/>
      <c r="K2" s="909"/>
      <c r="L2" s="909"/>
      <c r="M2" s="909"/>
      <c r="N2" s="909"/>
      <c r="O2" s="909"/>
      <c r="P2" s="909"/>
      <c r="Q2" s="909"/>
      <c r="R2" s="909"/>
      <c r="S2" s="909"/>
      <c r="T2" s="909"/>
      <c r="U2" s="909"/>
      <c r="V2" s="909"/>
      <c r="W2" s="909"/>
    </row>
    <row r="3" spans="1:23" ht="12" customHeight="1" x14ac:dyDescent="0.2">
      <c r="A3" s="909"/>
      <c r="B3" s="911"/>
      <c r="C3" s="909"/>
      <c r="D3" s="913" t="s">
        <v>441</v>
      </c>
      <c r="E3" s="909" t="s">
        <v>442</v>
      </c>
      <c r="F3" s="909"/>
      <c r="G3" s="909"/>
      <c r="H3" s="909"/>
      <c r="I3" s="909"/>
      <c r="J3" s="909"/>
      <c r="K3" s="909"/>
      <c r="L3" s="909"/>
      <c r="M3" s="909"/>
      <c r="N3" s="909"/>
      <c r="O3" s="909"/>
      <c r="P3" s="909"/>
      <c r="Q3" s="909"/>
      <c r="R3" s="909"/>
      <c r="S3" s="909"/>
      <c r="T3" s="909"/>
      <c r="U3" s="909"/>
      <c r="V3" s="909"/>
      <c r="W3" s="909"/>
    </row>
    <row r="4" spans="1:23" ht="24.75" customHeight="1" x14ac:dyDescent="0.2">
      <c r="A4" s="909"/>
      <c r="B4" s="911"/>
      <c r="C4" s="909"/>
      <c r="D4" s="913"/>
      <c r="E4" s="909" t="s">
        <v>443</v>
      </c>
      <c r="F4" s="909"/>
      <c r="G4" s="909"/>
      <c r="H4" s="909"/>
      <c r="I4" s="915" t="s">
        <v>444</v>
      </c>
      <c r="J4" s="916"/>
      <c r="K4" s="916"/>
      <c r="L4" s="916"/>
      <c r="M4" s="916"/>
      <c r="N4" s="916"/>
      <c r="O4" s="916"/>
      <c r="P4" s="917" t="s">
        <v>445</v>
      </c>
      <c r="Q4" s="918"/>
      <c r="R4" s="919"/>
      <c r="S4" s="915" t="s">
        <v>446</v>
      </c>
      <c r="T4" s="916"/>
      <c r="U4" s="916"/>
      <c r="V4" s="916"/>
      <c r="W4" s="923"/>
    </row>
    <row r="5" spans="1:23" ht="27.75" customHeight="1" x14ac:dyDescent="0.2">
      <c r="A5" s="909"/>
      <c r="B5" s="911"/>
      <c r="C5" s="909"/>
      <c r="D5" s="913"/>
      <c r="E5" s="909" t="s">
        <v>44</v>
      </c>
      <c r="F5" s="909" t="s">
        <v>447</v>
      </c>
      <c r="G5" s="909"/>
      <c r="H5" s="909"/>
      <c r="I5" s="924" t="s">
        <v>44</v>
      </c>
      <c r="J5" s="909" t="s">
        <v>461</v>
      </c>
      <c r="K5" s="924" t="s">
        <v>448</v>
      </c>
      <c r="L5" s="909" t="s">
        <v>449</v>
      </c>
      <c r="M5" s="909" t="s">
        <v>450</v>
      </c>
      <c r="N5" s="909"/>
      <c r="O5" s="909"/>
      <c r="P5" s="920"/>
      <c r="Q5" s="921"/>
      <c r="R5" s="922"/>
      <c r="S5" s="914" t="s">
        <v>44</v>
      </c>
      <c r="T5" s="925" t="s">
        <v>447</v>
      </c>
      <c r="U5" s="926"/>
      <c r="V5" s="926"/>
      <c r="W5" s="927"/>
    </row>
    <row r="6" spans="1:23" ht="13.5" customHeight="1" x14ac:dyDescent="0.2">
      <c r="A6" s="909"/>
      <c r="B6" s="911"/>
      <c r="C6" s="909"/>
      <c r="D6" s="913"/>
      <c r="E6" s="909"/>
      <c r="F6" s="929" t="s">
        <v>451</v>
      </c>
      <c r="G6" s="929" t="s">
        <v>448</v>
      </c>
      <c r="H6" s="909" t="s">
        <v>452</v>
      </c>
      <c r="I6" s="913"/>
      <c r="J6" s="909"/>
      <c r="K6" s="913"/>
      <c r="L6" s="909"/>
      <c r="M6" s="924" t="s">
        <v>46</v>
      </c>
      <c r="N6" s="915" t="s">
        <v>447</v>
      </c>
      <c r="O6" s="923"/>
      <c r="P6" s="917" t="s">
        <v>46</v>
      </c>
      <c r="Q6" s="915" t="s">
        <v>447</v>
      </c>
      <c r="R6" s="923"/>
      <c r="S6" s="914"/>
      <c r="T6" s="931" t="s">
        <v>453</v>
      </c>
      <c r="U6" s="932" t="s">
        <v>454</v>
      </c>
      <c r="V6" s="932" t="s">
        <v>455</v>
      </c>
      <c r="W6" s="931" t="s">
        <v>456</v>
      </c>
    </row>
    <row r="7" spans="1:23" ht="138" customHeight="1" x14ac:dyDescent="0.2">
      <c r="A7" s="909"/>
      <c r="B7" s="912"/>
      <c r="C7" s="909"/>
      <c r="D7" s="914"/>
      <c r="E7" s="909"/>
      <c r="F7" s="930"/>
      <c r="G7" s="930"/>
      <c r="H7" s="909"/>
      <c r="I7" s="914"/>
      <c r="J7" s="909"/>
      <c r="K7" s="914"/>
      <c r="L7" s="909"/>
      <c r="M7" s="914"/>
      <c r="N7" s="610" t="s">
        <v>457</v>
      </c>
      <c r="O7" s="610" t="s">
        <v>458</v>
      </c>
      <c r="P7" s="920"/>
      <c r="Q7" s="133" t="s">
        <v>329</v>
      </c>
      <c r="R7" s="133" t="s">
        <v>330</v>
      </c>
      <c r="S7" s="909"/>
      <c r="T7" s="931"/>
      <c r="U7" s="932"/>
      <c r="V7" s="932"/>
      <c r="W7" s="931"/>
    </row>
    <row r="8" spans="1:23" s="112" customFormat="1" ht="11.25" x14ac:dyDescent="0.2">
      <c r="A8" s="109">
        <v>1</v>
      </c>
      <c r="B8" s="109">
        <v>2</v>
      </c>
      <c r="C8" s="109">
        <v>3</v>
      </c>
      <c r="D8" s="110" t="s">
        <v>767</v>
      </c>
      <c r="E8" s="110">
        <v>5</v>
      </c>
      <c r="F8" s="110">
        <v>6</v>
      </c>
      <c r="G8" s="110">
        <v>7</v>
      </c>
      <c r="H8" s="110">
        <v>8</v>
      </c>
      <c r="I8" s="110">
        <v>9</v>
      </c>
      <c r="J8" s="110">
        <v>10</v>
      </c>
      <c r="K8" s="110"/>
      <c r="L8" s="110">
        <v>10</v>
      </c>
      <c r="M8" s="110">
        <v>11</v>
      </c>
      <c r="N8" s="110">
        <v>12</v>
      </c>
      <c r="O8" s="110">
        <v>13</v>
      </c>
      <c r="P8" s="110">
        <v>14</v>
      </c>
      <c r="Q8" s="110">
        <v>15</v>
      </c>
      <c r="R8" s="110">
        <v>16</v>
      </c>
      <c r="S8" s="109">
        <v>17</v>
      </c>
      <c r="T8" s="111">
        <v>18</v>
      </c>
      <c r="U8" s="111">
        <v>19</v>
      </c>
      <c r="V8" s="111">
        <v>20</v>
      </c>
      <c r="W8" s="111">
        <v>21</v>
      </c>
    </row>
    <row r="9" spans="1:23" s="112" customFormat="1" ht="14.25" customHeight="1" x14ac:dyDescent="0.2">
      <c r="A9" s="928" t="s">
        <v>44</v>
      </c>
      <c r="B9" s="928"/>
      <c r="C9" s="928"/>
      <c r="D9" s="134">
        <f>D10+D11</f>
        <v>13288243</v>
      </c>
      <c r="E9" s="134">
        <f t="shared" ref="E9:E72" si="0">F9+H9</f>
        <v>998012</v>
      </c>
      <c r="F9" s="134">
        <f t="shared" ref="F9:R9" si="1">F10+F11</f>
        <v>177932</v>
      </c>
      <c r="G9" s="134">
        <f t="shared" si="1"/>
        <v>42257</v>
      </c>
      <c r="H9" s="134">
        <f t="shared" si="1"/>
        <v>820080</v>
      </c>
      <c r="I9" s="134">
        <f>I10+I11</f>
        <v>1687653</v>
      </c>
      <c r="J9" s="134">
        <f t="shared" si="1"/>
        <v>1678910</v>
      </c>
      <c r="K9" s="134">
        <f t="shared" si="1"/>
        <v>119545</v>
      </c>
      <c r="L9" s="134">
        <f t="shared" si="1"/>
        <v>194709</v>
      </c>
      <c r="M9" s="134">
        <f t="shared" si="1"/>
        <v>8743</v>
      </c>
      <c r="N9" s="134">
        <f t="shared" si="1"/>
        <v>3344</v>
      </c>
      <c r="O9" s="134">
        <f t="shared" si="1"/>
        <v>5399</v>
      </c>
      <c r="P9" s="134">
        <f t="shared" si="1"/>
        <v>558944</v>
      </c>
      <c r="Q9" s="134">
        <f t="shared" si="1"/>
        <v>286118</v>
      </c>
      <c r="R9" s="134">
        <f t="shared" si="1"/>
        <v>272826</v>
      </c>
      <c r="S9" s="135">
        <f>SUM(T9:W9)</f>
        <v>10043634</v>
      </c>
      <c r="T9" s="136">
        <f>T10+T11</f>
        <v>1717790</v>
      </c>
      <c r="U9" s="136">
        <f>U10+U11</f>
        <v>5185833</v>
      </c>
      <c r="V9" s="136">
        <f>V10+V11</f>
        <v>957832</v>
      </c>
      <c r="W9" s="136">
        <f>W10+W11</f>
        <v>2182179</v>
      </c>
    </row>
    <row r="10" spans="1:23" s="112" customFormat="1" ht="18" customHeight="1" x14ac:dyDescent="0.2">
      <c r="A10" s="937" t="s">
        <v>14</v>
      </c>
      <c r="B10" s="938"/>
      <c r="C10" s="939"/>
      <c r="D10" s="137">
        <f t="shared" ref="D10:D73" si="2">E10+I10+P10+S10</f>
        <v>149867</v>
      </c>
      <c r="E10" s="137">
        <f t="shared" si="0"/>
        <v>0</v>
      </c>
      <c r="F10" s="113">
        <v>0</v>
      </c>
      <c r="G10" s="113">
        <v>0</v>
      </c>
      <c r="H10" s="113">
        <v>0</v>
      </c>
      <c r="I10" s="113">
        <f>J10+M10</f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/>
      <c r="Q10" s="113"/>
      <c r="R10" s="113"/>
      <c r="S10" s="135">
        <f>T10+U10</f>
        <v>149867</v>
      </c>
      <c r="T10" s="114">
        <v>0</v>
      </c>
      <c r="U10" s="114">
        <v>149867</v>
      </c>
      <c r="V10" s="114"/>
      <c r="W10" s="114"/>
    </row>
    <row r="11" spans="1:23" s="112" customFormat="1" ht="15.75" customHeight="1" x14ac:dyDescent="0.2">
      <c r="A11" s="940" t="s">
        <v>15</v>
      </c>
      <c r="B11" s="941"/>
      <c r="C11" s="942"/>
      <c r="D11" s="134">
        <f t="shared" si="2"/>
        <v>13138376</v>
      </c>
      <c r="E11" s="134">
        <f t="shared" si="0"/>
        <v>998012</v>
      </c>
      <c r="F11" s="134">
        <f>SUM(F12:F147)-F92-F37-F75-F76-F78-F79-F80-F85-F88</f>
        <v>177932</v>
      </c>
      <c r="G11" s="134">
        <f t="shared" ref="G11:H11" si="3">SUM(G12:G147)-G92-G37-G75-G76-G78-G79-G80-G85-G88</f>
        <v>42257</v>
      </c>
      <c r="H11" s="134">
        <f t="shared" si="3"/>
        <v>820080</v>
      </c>
      <c r="I11" s="134">
        <f t="shared" ref="I11" si="4">SUM(I12:I147)-I92-I37-I75-I76-I78-I79-I80-I85-I88</f>
        <v>1687653</v>
      </c>
      <c r="J11" s="134">
        <f t="shared" ref="J11:W11" si="5">SUM(J12:J147)-J92-J37-J75-J76-J78-J79-J80-J85-J88</f>
        <v>1678910</v>
      </c>
      <c r="K11" s="134">
        <f t="shared" si="5"/>
        <v>119545</v>
      </c>
      <c r="L11" s="134">
        <f t="shared" si="5"/>
        <v>194709</v>
      </c>
      <c r="M11" s="134">
        <f t="shared" si="5"/>
        <v>8743</v>
      </c>
      <c r="N11" s="134">
        <f t="shared" si="5"/>
        <v>3344</v>
      </c>
      <c r="O11" s="134">
        <f t="shared" si="5"/>
        <v>5399</v>
      </c>
      <c r="P11" s="134">
        <f t="shared" si="5"/>
        <v>558944</v>
      </c>
      <c r="Q11" s="134">
        <f t="shared" si="5"/>
        <v>286118</v>
      </c>
      <c r="R11" s="134">
        <f t="shared" si="5"/>
        <v>272826</v>
      </c>
      <c r="S11" s="134">
        <f t="shared" si="5"/>
        <v>9893767</v>
      </c>
      <c r="T11" s="134">
        <f t="shared" si="5"/>
        <v>1717790</v>
      </c>
      <c r="U11" s="134">
        <f t="shared" si="5"/>
        <v>5035966</v>
      </c>
      <c r="V11" s="134">
        <f t="shared" si="5"/>
        <v>957832</v>
      </c>
      <c r="W11" s="134">
        <f t="shared" si="5"/>
        <v>2182179</v>
      </c>
    </row>
    <row r="12" spans="1:23" x14ac:dyDescent="0.2">
      <c r="A12" s="115">
        <v>1</v>
      </c>
      <c r="B12" s="70" t="s">
        <v>54</v>
      </c>
      <c r="C12" s="30" t="s">
        <v>55</v>
      </c>
      <c r="D12" s="134">
        <f t="shared" si="2"/>
        <v>52500</v>
      </c>
      <c r="E12" s="134">
        <f t="shared" si="0"/>
        <v>4221</v>
      </c>
      <c r="F12" s="113">
        <v>791</v>
      </c>
      <c r="G12" s="113">
        <v>250</v>
      </c>
      <c r="H12" s="113">
        <v>3430</v>
      </c>
      <c r="I12" s="134">
        <f>J12+M12</f>
        <v>7508</v>
      </c>
      <c r="J12" s="113">
        <v>7463</v>
      </c>
      <c r="K12" s="113">
        <v>565</v>
      </c>
      <c r="L12" s="113">
        <v>867</v>
      </c>
      <c r="M12" s="113">
        <f t="shared" ref="M12:M74" si="6">N12+O12</f>
        <v>45</v>
      </c>
      <c r="N12" s="113">
        <v>0</v>
      </c>
      <c r="O12" s="113">
        <v>45</v>
      </c>
      <c r="P12" s="134">
        <f t="shared" ref="P12:P75" si="7">Q12+R12</f>
        <v>2144</v>
      </c>
      <c r="Q12" s="113">
        <v>970</v>
      </c>
      <c r="R12" s="113">
        <v>1174</v>
      </c>
      <c r="S12" s="134">
        <f t="shared" ref="S12:S73" si="8">SUM(T12:X12)</f>
        <v>38627</v>
      </c>
      <c r="T12" s="114">
        <v>15789</v>
      </c>
      <c r="U12" s="114">
        <v>17842</v>
      </c>
      <c r="V12" s="114">
        <v>534</v>
      </c>
      <c r="W12" s="114">
        <v>4462</v>
      </c>
    </row>
    <row r="13" spans="1:23" x14ac:dyDescent="0.2">
      <c r="A13" s="115">
        <v>2</v>
      </c>
      <c r="B13" s="71" t="s">
        <v>56</v>
      </c>
      <c r="C13" s="30" t="s">
        <v>57</v>
      </c>
      <c r="D13" s="134">
        <f t="shared" si="2"/>
        <v>53469</v>
      </c>
      <c r="E13" s="134">
        <f t="shared" si="0"/>
        <v>3915</v>
      </c>
      <c r="F13" s="113">
        <v>819</v>
      </c>
      <c r="G13" s="113">
        <v>160</v>
      </c>
      <c r="H13" s="113">
        <v>3096</v>
      </c>
      <c r="I13" s="134">
        <f t="shared" ref="I13:I76" si="9">J13+M13</f>
        <v>7840</v>
      </c>
      <c r="J13" s="113">
        <v>7730</v>
      </c>
      <c r="K13" s="113">
        <v>380</v>
      </c>
      <c r="L13" s="113">
        <v>896</v>
      </c>
      <c r="M13" s="113">
        <f t="shared" si="6"/>
        <v>110</v>
      </c>
      <c r="N13" s="113">
        <v>10</v>
      </c>
      <c r="O13" s="113">
        <v>100</v>
      </c>
      <c r="P13" s="134">
        <f t="shared" si="7"/>
        <v>1990</v>
      </c>
      <c r="Q13" s="113">
        <v>894</v>
      </c>
      <c r="R13" s="113">
        <v>1096</v>
      </c>
      <c r="S13" s="134">
        <f t="shared" si="8"/>
        <v>39724</v>
      </c>
      <c r="T13" s="114">
        <v>9996</v>
      </c>
      <c r="U13" s="114">
        <v>18693</v>
      </c>
      <c r="V13" s="114">
        <v>6450</v>
      </c>
      <c r="W13" s="114">
        <v>4585</v>
      </c>
    </row>
    <row r="14" spans="1:23" x14ac:dyDescent="0.2">
      <c r="A14" s="115">
        <v>3</v>
      </c>
      <c r="B14" s="611" t="s">
        <v>16</v>
      </c>
      <c r="C14" s="30" t="s">
        <v>17</v>
      </c>
      <c r="D14" s="134">
        <f t="shared" si="2"/>
        <v>174690</v>
      </c>
      <c r="E14" s="134">
        <f t="shared" si="0"/>
        <v>14809</v>
      </c>
      <c r="F14" s="113">
        <v>2485</v>
      </c>
      <c r="G14" s="113">
        <v>1441</v>
      </c>
      <c r="H14" s="113">
        <v>12324</v>
      </c>
      <c r="I14" s="134">
        <f t="shared" si="9"/>
        <v>23902</v>
      </c>
      <c r="J14" s="113">
        <v>23447</v>
      </c>
      <c r="K14" s="113">
        <v>1145</v>
      </c>
      <c r="L14" s="113">
        <v>2719</v>
      </c>
      <c r="M14" s="113">
        <f t="shared" si="6"/>
        <v>455</v>
      </c>
      <c r="N14" s="113">
        <v>345</v>
      </c>
      <c r="O14" s="113">
        <v>110</v>
      </c>
      <c r="P14" s="134">
        <f t="shared" si="7"/>
        <v>7828</v>
      </c>
      <c r="Q14" s="113">
        <v>4173</v>
      </c>
      <c r="R14" s="113">
        <v>3655</v>
      </c>
      <c r="S14" s="134">
        <f t="shared" si="8"/>
        <v>128151</v>
      </c>
      <c r="T14" s="114">
        <v>34284</v>
      </c>
      <c r="U14" s="114">
        <v>44514</v>
      </c>
      <c r="V14" s="114">
        <v>22307</v>
      </c>
      <c r="W14" s="114">
        <v>27046</v>
      </c>
    </row>
    <row r="15" spans="1:23" x14ac:dyDescent="0.2">
      <c r="A15" s="115">
        <v>4</v>
      </c>
      <c r="B15" s="70" t="s">
        <v>58</v>
      </c>
      <c r="C15" s="30" t="s">
        <v>59</v>
      </c>
      <c r="D15" s="134">
        <f t="shared" si="2"/>
        <v>54061</v>
      </c>
      <c r="E15" s="134">
        <f t="shared" si="0"/>
        <v>3739</v>
      </c>
      <c r="F15" s="113">
        <v>880</v>
      </c>
      <c r="G15" s="113">
        <v>176</v>
      </c>
      <c r="H15" s="113">
        <v>2859</v>
      </c>
      <c r="I15" s="134">
        <f t="shared" si="9"/>
        <v>8363</v>
      </c>
      <c r="J15" s="113">
        <v>8307</v>
      </c>
      <c r="K15" s="113">
        <v>589</v>
      </c>
      <c r="L15" s="113">
        <v>963</v>
      </c>
      <c r="M15" s="113">
        <f t="shared" si="6"/>
        <v>56</v>
      </c>
      <c r="N15" s="113">
        <v>16</v>
      </c>
      <c r="O15" s="113">
        <v>40</v>
      </c>
      <c r="P15" s="134">
        <f t="shared" si="7"/>
        <v>1886</v>
      </c>
      <c r="Q15" s="113">
        <v>864</v>
      </c>
      <c r="R15" s="113">
        <v>1022</v>
      </c>
      <c r="S15" s="134">
        <f t="shared" si="8"/>
        <v>40073</v>
      </c>
      <c r="T15" s="114">
        <v>10811</v>
      </c>
      <c r="U15" s="114">
        <v>12539</v>
      </c>
      <c r="V15" s="114">
        <v>6053</v>
      </c>
      <c r="W15" s="114">
        <v>10670</v>
      </c>
    </row>
    <row r="16" spans="1:23" x14ac:dyDescent="0.2">
      <c r="A16" s="115">
        <v>5</v>
      </c>
      <c r="B16" s="70" t="s">
        <v>60</v>
      </c>
      <c r="C16" s="30" t="s">
        <v>61</v>
      </c>
      <c r="D16" s="134">
        <f t="shared" si="2"/>
        <v>62855</v>
      </c>
      <c r="E16" s="134">
        <f t="shared" si="0"/>
        <v>4948</v>
      </c>
      <c r="F16" s="113">
        <v>956</v>
      </c>
      <c r="G16" s="113">
        <v>68</v>
      </c>
      <c r="H16" s="113">
        <v>3992</v>
      </c>
      <c r="I16" s="134">
        <f t="shared" si="9"/>
        <v>9091</v>
      </c>
      <c r="J16" s="113">
        <v>9021</v>
      </c>
      <c r="K16" s="113">
        <v>1003</v>
      </c>
      <c r="L16" s="113">
        <v>1046</v>
      </c>
      <c r="M16" s="113">
        <f t="shared" si="6"/>
        <v>70</v>
      </c>
      <c r="N16" s="113">
        <v>8</v>
      </c>
      <c r="O16" s="113">
        <v>62</v>
      </c>
      <c r="P16" s="134">
        <f t="shared" si="7"/>
        <v>2552</v>
      </c>
      <c r="Q16" s="113">
        <v>1181</v>
      </c>
      <c r="R16" s="113">
        <v>1371</v>
      </c>
      <c r="S16" s="134">
        <f t="shared" si="8"/>
        <v>46264</v>
      </c>
      <c r="T16" s="114">
        <v>16125</v>
      </c>
      <c r="U16" s="114">
        <v>14747</v>
      </c>
      <c r="V16" s="114">
        <v>6208</v>
      </c>
      <c r="W16" s="114">
        <v>9184</v>
      </c>
    </row>
    <row r="17" spans="1:23" x14ac:dyDescent="0.2">
      <c r="A17" s="115">
        <v>6</v>
      </c>
      <c r="B17" s="611" t="s">
        <v>18</v>
      </c>
      <c r="C17" s="30" t="s">
        <v>19</v>
      </c>
      <c r="D17" s="134">
        <f t="shared" si="2"/>
        <v>484268</v>
      </c>
      <c r="E17" s="134">
        <f t="shared" si="0"/>
        <v>43290</v>
      </c>
      <c r="F17" s="113">
        <v>6847</v>
      </c>
      <c r="G17" s="113">
        <v>2233</v>
      </c>
      <c r="H17" s="113">
        <v>36443</v>
      </c>
      <c r="I17" s="134">
        <f t="shared" si="9"/>
        <v>64783</v>
      </c>
      <c r="J17" s="113">
        <v>64602</v>
      </c>
      <c r="K17" s="113">
        <v>4836</v>
      </c>
      <c r="L17" s="113">
        <v>7492</v>
      </c>
      <c r="M17" s="113">
        <f t="shared" si="6"/>
        <v>181</v>
      </c>
      <c r="N17" s="113">
        <v>60</v>
      </c>
      <c r="O17" s="113">
        <v>121</v>
      </c>
      <c r="P17" s="134">
        <f t="shared" si="7"/>
        <v>22024</v>
      </c>
      <c r="Q17" s="113">
        <v>11524</v>
      </c>
      <c r="R17" s="113">
        <v>10500</v>
      </c>
      <c r="S17" s="134">
        <f t="shared" si="8"/>
        <v>354171</v>
      </c>
      <c r="T17" s="114">
        <v>49963</v>
      </c>
      <c r="U17" s="114">
        <v>120641</v>
      </c>
      <c r="V17" s="114">
        <v>13729</v>
      </c>
      <c r="W17" s="114">
        <v>169838</v>
      </c>
    </row>
    <row r="18" spans="1:23" x14ac:dyDescent="0.2">
      <c r="A18" s="115">
        <v>7</v>
      </c>
      <c r="B18" s="70" t="s">
        <v>62</v>
      </c>
      <c r="C18" s="30" t="s">
        <v>63</v>
      </c>
      <c r="D18" s="134">
        <f t="shared" si="2"/>
        <v>168338</v>
      </c>
      <c r="E18" s="134">
        <f t="shared" si="0"/>
        <v>13217</v>
      </c>
      <c r="F18" s="113">
        <v>2510</v>
      </c>
      <c r="G18" s="113">
        <v>457</v>
      </c>
      <c r="H18" s="113">
        <v>10707</v>
      </c>
      <c r="I18" s="134">
        <f t="shared" si="9"/>
        <v>23760</v>
      </c>
      <c r="J18" s="113">
        <v>23681</v>
      </c>
      <c r="K18" s="113">
        <v>1719</v>
      </c>
      <c r="L18" s="113">
        <v>2746</v>
      </c>
      <c r="M18" s="113">
        <f t="shared" si="6"/>
        <v>79</v>
      </c>
      <c r="N18" s="113">
        <v>6</v>
      </c>
      <c r="O18" s="113">
        <v>73</v>
      </c>
      <c r="P18" s="134">
        <f t="shared" si="7"/>
        <v>6695</v>
      </c>
      <c r="Q18" s="113">
        <v>3204</v>
      </c>
      <c r="R18" s="113">
        <v>3491</v>
      </c>
      <c r="S18" s="134">
        <f t="shared" si="8"/>
        <v>124666</v>
      </c>
      <c r="T18" s="114">
        <v>29983</v>
      </c>
      <c r="U18" s="114">
        <v>55682</v>
      </c>
      <c r="V18" s="114">
        <v>16111</v>
      </c>
      <c r="W18" s="114">
        <v>22890</v>
      </c>
    </row>
    <row r="19" spans="1:23" x14ac:dyDescent="0.2">
      <c r="A19" s="115">
        <v>8</v>
      </c>
      <c r="B19" s="611" t="s">
        <v>64</v>
      </c>
      <c r="C19" s="30" t="s">
        <v>65</v>
      </c>
      <c r="D19" s="134">
        <f t="shared" si="2"/>
        <v>66131</v>
      </c>
      <c r="E19" s="134">
        <f t="shared" si="0"/>
        <v>5104</v>
      </c>
      <c r="F19" s="113">
        <v>1013</v>
      </c>
      <c r="G19" s="113">
        <v>100</v>
      </c>
      <c r="H19" s="113">
        <v>4091</v>
      </c>
      <c r="I19" s="134">
        <f t="shared" si="9"/>
        <v>9659</v>
      </c>
      <c r="J19" s="113">
        <v>9558</v>
      </c>
      <c r="K19" s="113">
        <v>1200</v>
      </c>
      <c r="L19" s="113">
        <v>1109</v>
      </c>
      <c r="M19" s="113">
        <f t="shared" si="6"/>
        <v>101</v>
      </c>
      <c r="N19" s="113">
        <v>30</v>
      </c>
      <c r="O19" s="113">
        <v>71</v>
      </c>
      <c r="P19" s="134">
        <f t="shared" si="7"/>
        <v>2758</v>
      </c>
      <c r="Q19" s="113">
        <v>1230</v>
      </c>
      <c r="R19" s="113">
        <v>1528</v>
      </c>
      <c r="S19" s="134">
        <f t="shared" si="8"/>
        <v>48610</v>
      </c>
      <c r="T19" s="114">
        <v>9877</v>
      </c>
      <c r="U19" s="114">
        <v>15025</v>
      </c>
      <c r="V19" s="114">
        <v>9937</v>
      </c>
      <c r="W19" s="114">
        <v>13771</v>
      </c>
    </row>
    <row r="20" spans="1:23" x14ac:dyDescent="0.2">
      <c r="A20" s="115">
        <v>9</v>
      </c>
      <c r="B20" s="611" t="s">
        <v>66</v>
      </c>
      <c r="C20" s="30" t="s">
        <v>67</v>
      </c>
      <c r="D20" s="134">
        <f t="shared" si="2"/>
        <v>58527</v>
      </c>
      <c r="E20" s="134">
        <f t="shared" si="0"/>
        <v>4388</v>
      </c>
      <c r="F20" s="113">
        <v>907</v>
      </c>
      <c r="G20" s="113">
        <v>147</v>
      </c>
      <c r="H20" s="113">
        <v>3481</v>
      </c>
      <c r="I20" s="134">
        <f t="shared" si="9"/>
        <v>8596</v>
      </c>
      <c r="J20" s="113">
        <v>8559</v>
      </c>
      <c r="K20" s="113">
        <v>434</v>
      </c>
      <c r="L20" s="113">
        <v>993</v>
      </c>
      <c r="M20" s="113">
        <f t="shared" si="6"/>
        <v>37</v>
      </c>
      <c r="N20" s="113">
        <v>0</v>
      </c>
      <c r="O20" s="113">
        <v>37</v>
      </c>
      <c r="P20" s="134">
        <f t="shared" si="7"/>
        <v>2303</v>
      </c>
      <c r="Q20" s="113">
        <v>1035</v>
      </c>
      <c r="R20" s="113">
        <v>1268</v>
      </c>
      <c r="S20" s="134">
        <f t="shared" si="8"/>
        <v>43240</v>
      </c>
      <c r="T20" s="114">
        <v>12474</v>
      </c>
      <c r="U20" s="114">
        <v>20139</v>
      </c>
      <c r="V20" s="114">
        <v>6150</v>
      </c>
      <c r="W20" s="114">
        <v>4477</v>
      </c>
    </row>
    <row r="21" spans="1:23" x14ac:dyDescent="0.2">
      <c r="A21" s="115">
        <v>10</v>
      </c>
      <c r="B21" s="611" t="s">
        <v>68</v>
      </c>
      <c r="C21" s="30" t="s">
        <v>69</v>
      </c>
      <c r="D21" s="134">
        <f t="shared" si="2"/>
        <v>79775</v>
      </c>
      <c r="E21" s="134">
        <f t="shared" si="0"/>
        <v>5536</v>
      </c>
      <c r="F21" s="113">
        <v>1268</v>
      </c>
      <c r="G21" s="113">
        <v>135</v>
      </c>
      <c r="H21" s="113">
        <v>4268</v>
      </c>
      <c r="I21" s="134">
        <f t="shared" si="9"/>
        <v>11988</v>
      </c>
      <c r="J21" s="113">
        <v>11968</v>
      </c>
      <c r="K21" s="113">
        <v>775</v>
      </c>
      <c r="L21" s="113">
        <v>1388</v>
      </c>
      <c r="M21" s="113">
        <f t="shared" si="6"/>
        <v>20</v>
      </c>
      <c r="N21" s="113">
        <v>0</v>
      </c>
      <c r="O21" s="113">
        <v>20</v>
      </c>
      <c r="P21" s="134">
        <f t="shared" si="7"/>
        <v>3533</v>
      </c>
      <c r="Q21" s="113">
        <v>1625</v>
      </c>
      <c r="R21" s="113">
        <v>1908</v>
      </c>
      <c r="S21" s="134">
        <f t="shared" si="8"/>
        <v>58718</v>
      </c>
      <c r="T21" s="114">
        <v>18290</v>
      </c>
      <c r="U21" s="114">
        <v>18963</v>
      </c>
      <c r="V21" s="114">
        <v>13373</v>
      </c>
      <c r="W21" s="114">
        <v>8092</v>
      </c>
    </row>
    <row r="22" spans="1:23" x14ac:dyDescent="0.2">
      <c r="A22" s="115">
        <v>11</v>
      </c>
      <c r="B22" s="611" t="s">
        <v>70</v>
      </c>
      <c r="C22" s="30" t="s">
        <v>71</v>
      </c>
      <c r="D22" s="134">
        <f t="shared" si="2"/>
        <v>59583</v>
      </c>
      <c r="E22" s="134">
        <f t="shared" si="0"/>
        <v>4776</v>
      </c>
      <c r="F22" s="113">
        <v>902</v>
      </c>
      <c r="G22" s="113">
        <v>453</v>
      </c>
      <c r="H22" s="113">
        <v>3874</v>
      </c>
      <c r="I22" s="134">
        <f t="shared" si="9"/>
        <v>8558</v>
      </c>
      <c r="J22" s="113">
        <v>8514</v>
      </c>
      <c r="K22" s="113">
        <v>1283</v>
      </c>
      <c r="L22" s="113">
        <v>987</v>
      </c>
      <c r="M22" s="113">
        <f t="shared" si="6"/>
        <v>44</v>
      </c>
      <c r="N22" s="113">
        <v>0</v>
      </c>
      <c r="O22" s="113">
        <v>44</v>
      </c>
      <c r="P22" s="134">
        <f t="shared" si="7"/>
        <v>2461</v>
      </c>
      <c r="Q22" s="113">
        <v>1070</v>
      </c>
      <c r="R22" s="113">
        <v>1391</v>
      </c>
      <c r="S22" s="134">
        <f t="shared" si="8"/>
        <v>43788</v>
      </c>
      <c r="T22" s="114">
        <v>14791</v>
      </c>
      <c r="U22" s="114">
        <v>12965</v>
      </c>
      <c r="V22" s="114">
        <v>7987</v>
      </c>
      <c r="W22" s="114">
        <v>8045</v>
      </c>
    </row>
    <row r="23" spans="1:23" x14ac:dyDescent="0.2">
      <c r="A23" s="115">
        <v>12</v>
      </c>
      <c r="B23" s="611" t="s">
        <v>72</v>
      </c>
      <c r="C23" s="30" t="s">
        <v>73</v>
      </c>
      <c r="D23" s="134">
        <f t="shared" si="2"/>
        <v>124526</v>
      </c>
      <c r="E23" s="134">
        <f t="shared" si="0"/>
        <v>9758</v>
      </c>
      <c r="F23" s="113">
        <v>1869</v>
      </c>
      <c r="G23" s="113">
        <v>505</v>
      </c>
      <c r="H23" s="113">
        <v>7889</v>
      </c>
      <c r="I23" s="134">
        <f t="shared" si="9"/>
        <v>17786</v>
      </c>
      <c r="J23" s="113">
        <v>17631</v>
      </c>
      <c r="K23" s="113">
        <v>1557</v>
      </c>
      <c r="L23" s="113">
        <v>2045</v>
      </c>
      <c r="M23" s="113">
        <f t="shared" si="6"/>
        <v>155</v>
      </c>
      <c r="N23" s="113">
        <v>90</v>
      </c>
      <c r="O23" s="113">
        <v>65</v>
      </c>
      <c r="P23" s="134">
        <f t="shared" si="7"/>
        <v>5082</v>
      </c>
      <c r="Q23" s="113">
        <v>2444</v>
      </c>
      <c r="R23" s="113">
        <v>2638</v>
      </c>
      <c r="S23" s="134">
        <f t="shared" si="8"/>
        <v>91900</v>
      </c>
      <c r="T23" s="114">
        <v>14802</v>
      </c>
      <c r="U23" s="114">
        <v>51025</v>
      </c>
      <c r="V23" s="114">
        <v>2971</v>
      </c>
      <c r="W23" s="114">
        <v>23102</v>
      </c>
    </row>
    <row r="24" spans="1:23" x14ac:dyDescent="0.2">
      <c r="A24" s="115">
        <v>13</v>
      </c>
      <c r="B24" s="611" t="s">
        <v>74</v>
      </c>
      <c r="C24" s="30" t="s">
        <v>75</v>
      </c>
      <c r="D24" s="134">
        <f t="shared" si="2"/>
        <v>0</v>
      </c>
      <c r="E24" s="134">
        <f t="shared" si="0"/>
        <v>0</v>
      </c>
      <c r="F24" s="113">
        <v>0</v>
      </c>
      <c r="G24" s="113">
        <v>0</v>
      </c>
      <c r="H24" s="113">
        <v>0</v>
      </c>
      <c r="I24" s="134">
        <f t="shared" si="9"/>
        <v>0</v>
      </c>
      <c r="J24" s="113">
        <v>0</v>
      </c>
      <c r="K24" s="113">
        <v>0</v>
      </c>
      <c r="L24" s="113">
        <v>0</v>
      </c>
      <c r="M24" s="113">
        <f t="shared" si="6"/>
        <v>0</v>
      </c>
      <c r="N24" s="113">
        <v>0</v>
      </c>
      <c r="O24" s="113">
        <v>0</v>
      </c>
      <c r="P24" s="134">
        <f t="shared" si="7"/>
        <v>0</v>
      </c>
      <c r="Q24" s="113">
        <v>0</v>
      </c>
      <c r="R24" s="113">
        <v>0</v>
      </c>
      <c r="S24" s="134">
        <f t="shared" si="8"/>
        <v>0</v>
      </c>
      <c r="T24" s="114">
        <v>0</v>
      </c>
      <c r="U24" s="114">
        <v>0</v>
      </c>
      <c r="V24" s="114">
        <v>0</v>
      </c>
      <c r="W24" s="114">
        <v>0</v>
      </c>
    </row>
    <row r="25" spans="1:23" x14ac:dyDescent="0.2">
      <c r="A25" s="115">
        <v>14</v>
      </c>
      <c r="B25" s="611" t="s">
        <v>76</v>
      </c>
      <c r="C25" s="30" t="s">
        <v>77</v>
      </c>
      <c r="D25" s="134">
        <f t="shared" si="2"/>
        <v>79421</v>
      </c>
      <c r="E25" s="134">
        <f t="shared" si="0"/>
        <v>6849</v>
      </c>
      <c r="F25" s="113">
        <v>1160</v>
      </c>
      <c r="G25" s="113">
        <v>892</v>
      </c>
      <c r="H25" s="113">
        <v>5689</v>
      </c>
      <c r="I25" s="134">
        <f t="shared" si="9"/>
        <v>11032</v>
      </c>
      <c r="J25" s="113">
        <v>10942</v>
      </c>
      <c r="K25" s="113">
        <v>1562</v>
      </c>
      <c r="L25" s="113">
        <v>1269</v>
      </c>
      <c r="M25" s="113">
        <f t="shared" si="6"/>
        <v>90</v>
      </c>
      <c r="N25" s="113">
        <v>0</v>
      </c>
      <c r="O25" s="113">
        <v>90</v>
      </c>
      <c r="P25" s="134">
        <f t="shared" si="7"/>
        <v>3542</v>
      </c>
      <c r="Q25" s="113">
        <v>1632</v>
      </c>
      <c r="R25" s="113">
        <v>1910</v>
      </c>
      <c r="S25" s="134">
        <f t="shared" si="8"/>
        <v>57998</v>
      </c>
      <c r="T25" s="114">
        <v>14425</v>
      </c>
      <c r="U25" s="114">
        <v>17819</v>
      </c>
      <c r="V25" s="114">
        <f>13420-3000</f>
        <v>10420</v>
      </c>
      <c r="W25" s="114">
        <f>12334+3000</f>
        <v>15334</v>
      </c>
    </row>
    <row r="26" spans="1:23" x14ac:dyDescent="0.2">
      <c r="A26" s="115">
        <v>15</v>
      </c>
      <c r="B26" s="611" t="s">
        <v>78</v>
      </c>
      <c r="C26" s="30" t="s">
        <v>79</v>
      </c>
      <c r="D26" s="134">
        <f t="shared" si="2"/>
        <v>123115</v>
      </c>
      <c r="E26" s="134">
        <f t="shared" si="0"/>
        <v>11869</v>
      </c>
      <c r="F26" s="113">
        <v>1674</v>
      </c>
      <c r="G26" s="113">
        <v>462</v>
      </c>
      <c r="H26" s="113">
        <v>10195</v>
      </c>
      <c r="I26" s="134">
        <f t="shared" si="9"/>
        <v>15950</v>
      </c>
      <c r="J26" s="113">
        <v>15795</v>
      </c>
      <c r="K26" s="113">
        <v>1292</v>
      </c>
      <c r="L26" s="113">
        <v>1832</v>
      </c>
      <c r="M26" s="113">
        <f t="shared" si="6"/>
        <v>155</v>
      </c>
      <c r="N26" s="113">
        <v>5</v>
      </c>
      <c r="O26" s="113">
        <v>150</v>
      </c>
      <c r="P26" s="134">
        <f t="shared" si="7"/>
        <v>5229</v>
      </c>
      <c r="Q26" s="113">
        <v>2334</v>
      </c>
      <c r="R26" s="113">
        <v>2895</v>
      </c>
      <c r="S26" s="134">
        <f t="shared" si="8"/>
        <v>90067</v>
      </c>
      <c r="T26" s="114">
        <v>10014</v>
      </c>
      <c r="U26" s="114">
        <v>37188</v>
      </c>
      <c r="V26" s="114">
        <v>13137</v>
      </c>
      <c r="W26" s="114">
        <v>29728</v>
      </c>
    </row>
    <row r="27" spans="1:23" x14ac:dyDescent="0.2">
      <c r="A27" s="115">
        <v>16</v>
      </c>
      <c r="B27" s="611" t="s">
        <v>80</v>
      </c>
      <c r="C27" s="30" t="s">
        <v>81</v>
      </c>
      <c r="D27" s="134">
        <f t="shared" si="2"/>
        <v>153700</v>
      </c>
      <c r="E27" s="134">
        <f t="shared" si="0"/>
        <v>14138</v>
      </c>
      <c r="F27" s="113">
        <v>2189</v>
      </c>
      <c r="G27" s="113">
        <v>534</v>
      </c>
      <c r="H27" s="113">
        <v>11949</v>
      </c>
      <c r="I27" s="134">
        <f t="shared" si="9"/>
        <v>20714</v>
      </c>
      <c r="J27" s="113">
        <v>20653</v>
      </c>
      <c r="K27" s="113">
        <v>1012</v>
      </c>
      <c r="L27" s="113">
        <v>2395</v>
      </c>
      <c r="M27" s="113">
        <f t="shared" si="6"/>
        <v>61</v>
      </c>
      <c r="N27" s="113">
        <v>6</v>
      </c>
      <c r="O27" s="113">
        <v>55</v>
      </c>
      <c r="P27" s="134">
        <f t="shared" si="7"/>
        <v>6609</v>
      </c>
      <c r="Q27" s="113">
        <v>3034</v>
      </c>
      <c r="R27" s="113">
        <v>3575</v>
      </c>
      <c r="S27" s="134">
        <f t="shared" si="8"/>
        <v>112239</v>
      </c>
      <c r="T27" s="114">
        <v>21991</v>
      </c>
      <c r="U27" s="114">
        <v>51194</v>
      </c>
      <c r="V27" s="114">
        <v>12443</v>
      </c>
      <c r="W27" s="114">
        <v>26611</v>
      </c>
    </row>
    <row r="28" spans="1:23" x14ac:dyDescent="0.2">
      <c r="A28" s="115">
        <v>17</v>
      </c>
      <c r="B28" s="611" t="s">
        <v>20</v>
      </c>
      <c r="C28" s="30" t="s">
        <v>21</v>
      </c>
      <c r="D28" s="134">
        <f t="shared" si="2"/>
        <v>292572</v>
      </c>
      <c r="E28" s="134">
        <f t="shared" si="0"/>
        <v>24815</v>
      </c>
      <c r="F28" s="113">
        <v>4184</v>
      </c>
      <c r="G28" s="113">
        <v>593</v>
      </c>
      <c r="H28" s="113">
        <v>20631</v>
      </c>
      <c r="I28" s="134">
        <f t="shared" si="9"/>
        <v>40015</v>
      </c>
      <c r="J28" s="113">
        <v>39475</v>
      </c>
      <c r="K28" s="113">
        <v>1353</v>
      </c>
      <c r="L28" s="113">
        <v>4578</v>
      </c>
      <c r="M28" s="113">
        <f t="shared" si="6"/>
        <v>540</v>
      </c>
      <c r="N28" s="113">
        <v>360</v>
      </c>
      <c r="O28" s="113">
        <v>180</v>
      </c>
      <c r="P28" s="134">
        <f t="shared" si="7"/>
        <v>12494</v>
      </c>
      <c r="Q28" s="113">
        <v>6402</v>
      </c>
      <c r="R28" s="113">
        <v>6092</v>
      </c>
      <c r="S28" s="134">
        <f t="shared" si="8"/>
        <v>215248</v>
      </c>
      <c r="T28" s="114">
        <v>35355</v>
      </c>
      <c r="U28" s="114">
        <v>71220</v>
      </c>
      <c r="V28" s="114">
        <v>62948</v>
      </c>
      <c r="W28" s="114">
        <v>45725</v>
      </c>
    </row>
    <row r="29" spans="1:23" x14ac:dyDescent="0.2">
      <c r="A29" s="115">
        <v>18</v>
      </c>
      <c r="B29" s="70" t="s">
        <v>82</v>
      </c>
      <c r="C29" s="795" t="s">
        <v>83</v>
      </c>
      <c r="D29" s="134">
        <f t="shared" si="2"/>
        <v>50459</v>
      </c>
      <c r="E29" s="134">
        <f t="shared" si="0"/>
        <v>5118</v>
      </c>
      <c r="F29" s="113">
        <v>681</v>
      </c>
      <c r="G29" s="113">
        <v>600</v>
      </c>
      <c r="H29" s="113">
        <v>4437</v>
      </c>
      <c r="I29" s="134">
        <f t="shared" si="9"/>
        <v>6447</v>
      </c>
      <c r="J29" s="113">
        <v>6427</v>
      </c>
      <c r="K29" s="113">
        <v>4421</v>
      </c>
      <c r="L29" s="113">
        <v>745</v>
      </c>
      <c r="M29" s="113">
        <f t="shared" si="6"/>
        <v>20</v>
      </c>
      <c r="N29" s="113">
        <v>0</v>
      </c>
      <c r="O29" s="113">
        <v>20</v>
      </c>
      <c r="P29" s="134">
        <f t="shared" si="7"/>
        <v>2190</v>
      </c>
      <c r="Q29" s="113">
        <v>971</v>
      </c>
      <c r="R29" s="113">
        <v>1219</v>
      </c>
      <c r="S29" s="134">
        <f t="shared" si="8"/>
        <v>36704</v>
      </c>
      <c r="T29" s="114">
        <v>6744</v>
      </c>
      <c r="U29" s="794">
        <f>18099+300</f>
        <v>18399</v>
      </c>
      <c r="V29" s="794">
        <v>6130</v>
      </c>
      <c r="W29" s="114">
        <v>5431</v>
      </c>
    </row>
    <row r="30" spans="1:23" x14ac:dyDescent="0.2">
      <c r="A30" s="115">
        <v>19</v>
      </c>
      <c r="B30" s="70" t="s">
        <v>84</v>
      </c>
      <c r="C30" s="30" t="s">
        <v>85</v>
      </c>
      <c r="D30" s="134">
        <f t="shared" si="2"/>
        <v>38374</v>
      </c>
      <c r="E30" s="134">
        <f t="shared" si="0"/>
        <v>3087</v>
      </c>
      <c r="F30" s="113">
        <v>577</v>
      </c>
      <c r="G30" s="113">
        <v>236</v>
      </c>
      <c r="H30" s="113">
        <v>2510</v>
      </c>
      <c r="I30" s="134">
        <f t="shared" si="9"/>
        <v>5569</v>
      </c>
      <c r="J30" s="113">
        <v>5444</v>
      </c>
      <c r="K30" s="113">
        <v>1256</v>
      </c>
      <c r="L30" s="113">
        <v>631</v>
      </c>
      <c r="M30" s="113">
        <f t="shared" si="6"/>
        <v>125</v>
      </c>
      <c r="N30" s="113">
        <v>95</v>
      </c>
      <c r="O30" s="113">
        <v>30</v>
      </c>
      <c r="P30" s="134">
        <f t="shared" si="7"/>
        <v>1615</v>
      </c>
      <c r="Q30" s="113">
        <v>731</v>
      </c>
      <c r="R30" s="113">
        <v>884</v>
      </c>
      <c r="S30" s="134">
        <f t="shared" si="8"/>
        <v>28103</v>
      </c>
      <c r="T30" s="114">
        <v>10427</v>
      </c>
      <c r="U30" s="114">
        <v>9724</v>
      </c>
      <c r="V30" s="114">
        <v>455</v>
      </c>
      <c r="W30" s="114">
        <v>7497</v>
      </c>
    </row>
    <row r="31" spans="1:23" x14ac:dyDescent="0.2">
      <c r="A31" s="115">
        <v>20</v>
      </c>
      <c r="B31" s="70" t="s">
        <v>86</v>
      </c>
      <c r="C31" s="30" t="s">
        <v>87</v>
      </c>
      <c r="D31" s="134">
        <f t="shared" si="2"/>
        <v>204344</v>
      </c>
      <c r="E31" s="134">
        <f t="shared" si="0"/>
        <v>17474</v>
      </c>
      <c r="F31" s="113">
        <v>2979</v>
      </c>
      <c r="G31" s="113">
        <v>803</v>
      </c>
      <c r="H31" s="113">
        <v>14495</v>
      </c>
      <c r="I31" s="134">
        <f t="shared" si="9"/>
        <v>28295</v>
      </c>
      <c r="J31" s="113">
        <v>28106</v>
      </c>
      <c r="K31" s="113">
        <v>3183</v>
      </c>
      <c r="L31" s="113">
        <v>3260</v>
      </c>
      <c r="M31" s="113">
        <f t="shared" si="6"/>
        <v>189</v>
      </c>
      <c r="N31" s="113">
        <v>38</v>
      </c>
      <c r="O31" s="113">
        <v>151</v>
      </c>
      <c r="P31" s="134">
        <f t="shared" si="7"/>
        <v>8681</v>
      </c>
      <c r="Q31" s="113">
        <v>4229</v>
      </c>
      <c r="R31" s="113">
        <v>4452</v>
      </c>
      <c r="S31" s="134">
        <f t="shared" si="8"/>
        <v>149894</v>
      </c>
      <c r="T31" s="114">
        <v>25351</v>
      </c>
      <c r="U31" s="114">
        <v>60446</v>
      </c>
      <c r="V31" s="114">
        <v>25523</v>
      </c>
      <c r="W31" s="114">
        <v>38574</v>
      </c>
    </row>
    <row r="32" spans="1:23" x14ac:dyDescent="0.2">
      <c r="A32" s="115">
        <v>21</v>
      </c>
      <c r="B32" s="70" t="s">
        <v>22</v>
      </c>
      <c r="C32" s="30" t="s">
        <v>23</v>
      </c>
      <c r="D32" s="134">
        <f t="shared" si="2"/>
        <v>181206</v>
      </c>
      <c r="E32" s="134">
        <f t="shared" si="0"/>
        <v>16337</v>
      </c>
      <c r="F32" s="113">
        <v>2500</v>
      </c>
      <c r="G32" s="113">
        <v>513</v>
      </c>
      <c r="H32" s="113">
        <v>13837</v>
      </c>
      <c r="I32" s="134">
        <f t="shared" si="9"/>
        <v>23703</v>
      </c>
      <c r="J32" s="113">
        <v>23586</v>
      </c>
      <c r="K32" s="113">
        <v>2928</v>
      </c>
      <c r="L32" s="113">
        <v>2735</v>
      </c>
      <c r="M32" s="113">
        <f t="shared" si="6"/>
        <v>117</v>
      </c>
      <c r="N32" s="113">
        <v>33</v>
      </c>
      <c r="O32" s="113">
        <v>84</v>
      </c>
      <c r="P32" s="134">
        <f t="shared" si="7"/>
        <v>8120</v>
      </c>
      <c r="Q32" s="113">
        <v>4326</v>
      </c>
      <c r="R32" s="113">
        <v>3794</v>
      </c>
      <c r="S32" s="134">
        <f t="shared" si="8"/>
        <v>133046</v>
      </c>
      <c r="T32" s="114">
        <v>17746</v>
      </c>
      <c r="U32" s="114">
        <v>72190</v>
      </c>
      <c r="V32" s="114">
        <v>6071</v>
      </c>
      <c r="W32" s="114">
        <v>37039</v>
      </c>
    </row>
    <row r="33" spans="1:23" x14ac:dyDescent="0.2">
      <c r="A33" s="115">
        <v>22</v>
      </c>
      <c r="B33" s="611" t="s">
        <v>24</v>
      </c>
      <c r="C33" s="30" t="s">
        <v>25</v>
      </c>
      <c r="D33" s="134">
        <f t="shared" si="2"/>
        <v>44373</v>
      </c>
      <c r="E33" s="134">
        <f t="shared" si="0"/>
        <v>3100</v>
      </c>
      <c r="F33" s="113">
        <v>618</v>
      </c>
      <c r="G33" s="113">
        <v>20</v>
      </c>
      <c r="H33" s="113">
        <v>2482</v>
      </c>
      <c r="I33" s="134">
        <f t="shared" si="9"/>
        <v>5850</v>
      </c>
      <c r="J33" s="113">
        <v>5830</v>
      </c>
      <c r="K33" s="113">
        <v>403</v>
      </c>
      <c r="L33" s="113">
        <v>676</v>
      </c>
      <c r="M33" s="113">
        <f t="shared" si="6"/>
        <v>20</v>
      </c>
      <c r="N33" s="113">
        <v>0</v>
      </c>
      <c r="O33" s="113">
        <v>20</v>
      </c>
      <c r="P33" s="134">
        <f t="shared" si="7"/>
        <v>1830</v>
      </c>
      <c r="Q33" s="113">
        <v>907</v>
      </c>
      <c r="R33" s="113">
        <v>923</v>
      </c>
      <c r="S33" s="134">
        <f t="shared" si="8"/>
        <v>33593</v>
      </c>
      <c r="T33" s="114">
        <v>4530</v>
      </c>
      <c r="U33" s="114">
        <v>17892</v>
      </c>
      <c r="V33" s="114">
        <v>2149</v>
      </c>
      <c r="W33" s="114">
        <v>9022</v>
      </c>
    </row>
    <row r="34" spans="1:23" x14ac:dyDescent="0.2">
      <c r="A34" s="115">
        <v>23</v>
      </c>
      <c r="B34" s="611" t="s">
        <v>88</v>
      </c>
      <c r="C34" s="30" t="s">
        <v>89</v>
      </c>
      <c r="D34" s="134">
        <f t="shared" si="2"/>
        <v>0</v>
      </c>
      <c r="E34" s="134">
        <f t="shared" si="0"/>
        <v>0</v>
      </c>
      <c r="F34" s="113">
        <v>0</v>
      </c>
      <c r="G34" s="113">
        <v>0</v>
      </c>
      <c r="H34" s="113">
        <v>0</v>
      </c>
      <c r="I34" s="134">
        <f t="shared" si="9"/>
        <v>0</v>
      </c>
      <c r="J34" s="113">
        <v>0</v>
      </c>
      <c r="K34" s="113">
        <v>0</v>
      </c>
      <c r="L34" s="113">
        <v>0</v>
      </c>
      <c r="M34" s="113">
        <f t="shared" si="6"/>
        <v>0</v>
      </c>
      <c r="N34" s="113">
        <v>0</v>
      </c>
      <c r="O34" s="113">
        <v>0</v>
      </c>
      <c r="P34" s="134">
        <f t="shared" si="7"/>
        <v>0</v>
      </c>
      <c r="Q34" s="113">
        <v>0</v>
      </c>
      <c r="R34" s="113">
        <v>0</v>
      </c>
      <c r="S34" s="134">
        <f t="shared" si="8"/>
        <v>0</v>
      </c>
      <c r="T34" s="114">
        <v>0</v>
      </c>
      <c r="U34" s="114">
        <v>0</v>
      </c>
      <c r="V34" s="114">
        <v>0</v>
      </c>
      <c r="W34" s="114">
        <v>0</v>
      </c>
    </row>
    <row r="35" spans="1:23" ht="24" x14ac:dyDescent="0.2">
      <c r="A35" s="115">
        <v>24</v>
      </c>
      <c r="B35" s="611" t="s">
        <v>90</v>
      </c>
      <c r="C35" s="30" t="s">
        <v>91</v>
      </c>
      <c r="D35" s="134">
        <f t="shared" si="2"/>
        <v>0</v>
      </c>
      <c r="E35" s="134">
        <f t="shared" si="0"/>
        <v>0</v>
      </c>
      <c r="F35" s="113">
        <v>0</v>
      </c>
      <c r="G35" s="113">
        <v>0</v>
      </c>
      <c r="H35" s="113">
        <v>0</v>
      </c>
      <c r="I35" s="134">
        <f t="shared" si="9"/>
        <v>0</v>
      </c>
      <c r="J35" s="113">
        <v>0</v>
      </c>
      <c r="K35" s="113">
        <v>0</v>
      </c>
      <c r="L35" s="113">
        <v>0</v>
      </c>
      <c r="M35" s="113">
        <f t="shared" si="6"/>
        <v>0</v>
      </c>
      <c r="N35" s="113">
        <v>0</v>
      </c>
      <c r="O35" s="113">
        <v>0</v>
      </c>
      <c r="P35" s="134">
        <f t="shared" si="7"/>
        <v>0</v>
      </c>
      <c r="Q35" s="113">
        <v>0</v>
      </c>
      <c r="R35" s="113">
        <v>0</v>
      </c>
      <c r="S35" s="134">
        <f t="shared" si="8"/>
        <v>0</v>
      </c>
      <c r="T35" s="114">
        <v>0</v>
      </c>
      <c r="U35" s="114">
        <v>0</v>
      </c>
      <c r="V35" s="114">
        <v>0</v>
      </c>
      <c r="W35" s="114">
        <v>0</v>
      </c>
    </row>
    <row r="36" spans="1:23" ht="24" x14ac:dyDescent="0.2">
      <c r="A36" s="933">
        <v>25</v>
      </c>
      <c r="B36" s="617" t="s">
        <v>92</v>
      </c>
      <c r="C36" s="56" t="s">
        <v>771</v>
      </c>
      <c r="D36" s="134">
        <f t="shared" si="2"/>
        <v>895359</v>
      </c>
      <c r="E36" s="134">
        <f t="shared" si="0"/>
        <v>80548</v>
      </c>
      <c r="F36" s="615">
        <v>13504</v>
      </c>
      <c r="G36" s="615">
        <v>4923</v>
      </c>
      <c r="H36" s="615">
        <v>67044</v>
      </c>
      <c r="I36" s="134">
        <f t="shared" si="9"/>
        <v>127769</v>
      </c>
      <c r="J36" s="615">
        <v>127428</v>
      </c>
      <c r="K36" s="615">
        <v>10734</v>
      </c>
      <c r="L36" s="615">
        <v>14779</v>
      </c>
      <c r="M36" s="615">
        <f t="shared" si="6"/>
        <v>341</v>
      </c>
      <c r="N36" s="615">
        <v>266</v>
      </c>
      <c r="O36" s="615">
        <v>75</v>
      </c>
      <c r="P36" s="614">
        <f t="shared" si="7"/>
        <v>44346</v>
      </c>
      <c r="Q36" s="615">
        <v>23282</v>
      </c>
      <c r="R36" s="615">
        <v>21064</v>
      </c>
      <c r="S36" s="134">
        <f t="shared" si="8"/>
        <v>642696</v>
      </c>
      <c r="T36" s="616">
        <v>99631</v>
      </c>
      <c r="U36" s="616">
        <v>251587</v>
      </c>
      <c r="V36" s="616">
        <v>151473</v>
      </c>
      <c r="W36" s="616">
        <v>140005</v>
      </c>
    </row>
    <row r="37" spans="1:23" x14ac:dyDescent="0.2">
      <c r="A37" s="935"/>
      <c r="B37" s="166" t="s">
        <v>94</v>
      </c>
      <c r="C37" s="49" t="s">
        <v>95</v>
      </c>
      <c r="D37" s="134">
        <f t="shared" si="2"/>
        <v>77218</v>
      </c>
      <c r="E37" s="134">
        <f t="shared" si="0"/>
        <v>14225</v>
      </c>
      <c r="F37" s="615">
        <v>0</v>
      </c>
      <c r="G37" s="615">
        <v>0</v>
      </c>
      <c r="H37" s="615">
        <v>14225</v>
      </c>
      <c r="I37" s="134">
        <f t="shared" si="9"/>
        <v>126</v>
      </c>
      <c r="J37" s="615">
        <v>0</v>
      </c>
      <c r="K37" s="615">
        <v>0</v>
      </c>
      <c r="L37" s="615">
        <v>0</v>
      </c>
      <c r="M37" s="615">
        <f t="shared" si="6"/>
        <v>126</v>
      </c>
      <c r="N37" s="615">
        <v>97</v>
      </c>
      <c r="O37" s="615">
        <v>29</v>
      </c>
      <c r="P37" s="614">
        <f t="shared" si="7"/>
        <v>0</v>
      </c>
      <c r="Q37" s="615">
        <v>0</v>
      </c>
      <c r="R37" s="615">
        <v>0</v>
      </c>
      <c r="S37" s="134">
        <f t="shared" si="8"/>
        <v>62867</v>
      </c>
      <c r="T37" s="616">
        <v>0</v>
      </c>
      <c r="U37" s="616">
        <v>16257</v>
      </c>
      <c r="V37" s="616">
        <v>20148</v>
      </c>
      <c r="W37" s="616">
        <v>26462</v>
      </c>
    </row>
    <row r="38" spans="1:23" x14ac:dyDescent="0.2">
      <c r="A38" s="115">
        <v>26</v>
      </c>
      <c r="B38" s="71" t="s">
        <v>96</v>
      </c>
      <c r="C38" s="30" t="s">
        <v>97</v>
      </c>
      <c r="D38" s="134">
        <f t="shared" si="2"/>
        <v>47464</v>
      </c>
      <c r="E38" s="134">
        <f t="shared" si="0"/>
        <v>0</v>
      </c>
      <c r="F38" s="113">
        <v>0</v>
      </c>
      <c r="G38" s="113">
        <v>0</v>
      </c>
      <c r="H38" s="113">
        <v>0</v>
      </c>
      <c r="I38" s="134">
        <f t="shared" si="9"/>
        <v>0</v>
      </c>
      <c r="J38" s="113">
        <v>0</v>
      </c>
      <c r="K38" s="113">
        <v>0</v>
      </c>
      <c r="L38" s="113">
        <v>0</v>
      </c>
      <c r="M38" s="113">
        <f t="shared" si="6"/>
        <v>0</v>
      </c>
      <c r="N38" s="113">
        <v>0</v>
      </c>
      <c r="O38" s="113">
        <v>0</v>
      </c>
      <c r="P38" s="134">
        <f t="shared" si="7"/>
        <v>0</v>
      </c>
      <c r="Q38" s="113">
        <v>0</v>
      </c>
      <c r="R38" s="113">
        <v>0</v>
      </c>
      <c r="S38" s="134">
        <f t="shared" si="8"/>
        <v>47464</v>
      </c>
      <c r="T38" s="114">
        <v>0</v>
      </c>
      <c r="U38" s="114">
        <v>36967</v>
      </c>
      <c r="V38" s="114">
        <v>10497</v>
      </c>
      <c r="W38" s="114">
        <v>0</v>
      </c>
    </row>
    <row r="39" spans="1:23" x14ac:dyDescent="0.2">
      <c r="A39" s="115">
        <v>27</v>
      </c>
      <c r="B39" s="71" t="s">
        <v>26</v>
      </c>
      <c r="C39" s="30" t="s">
        <v>27</v>
      </c>
      <c r="D39" s="134">
        <f t="shared" si="2"/>
        <v>240073</v>
      </c>
      <c r="E39" s="134">
        <f t="shared" si="0"/>
        <v>18402</v>
      </c>
      <c r="F39" s="113">
        <v>3604</v>
      </c>
      <c r="G39" s="113">
        <v>948</v>
      </c>
      <c r="H39" s="113">
        <v>14798</v>
      </c>
      <c r="I39" s="134">
        <f t="shared" si="9"/>
        <v>34306</v>
      </c>
      <c r="J39" s="113">
        <v>34006</v>
      </c>
      <c r="K39" s="113">
        <v>3266</v>
      </c>
      <c r="L39" s="113">
        <v>3944</v>
      </c>
      <c r="M39" s="113">
        <f t="shared" si="6"/>
        <v>300</v>
      </c>
      <c r="N39" s="113">
        <v>126</v>
      </c>
      <c r="O39" s="113">
        <v>174</v>
      </c>
      <c r="P39" s="134">
        <f t="shared" si="7"/>
        <v>10304</v>
      </c>
      <c r="Q39" s="113">
        <v>5182</v>
      </c>
      <c r="R39" s="113">
        <v>5122</v>
      </c>
      <c r="S39" s="134">
        <f t="shared" si="8"/>
        <v>177061</v>
      </c>
      <c r="T39" s="114">
        <v>17940</v>
      </c>
      <c r="U39" s="114">
        <v>80413</v>
      </c>
      <c r="V39" s="114">
        <v>38345</v>
      </c>
      <c r="W39" s="114">
        <v>40363</v>
      </c>
    </row>
    <row r="40" spans="1:23" x14ac:dyDescent="0.2">
      <c r="A40" s="115">
        <v>28</v>
      </c>
      <c r="B40" s="70" t="s">
        <v>98</v>
      </c>
      <c r="C40" s="30" t="s">
        <v>99</v>
      </c>
      <c r="D40" s="134">
        <f t="shared" si="2"/>
        <v>366604</v>
      </c>
      <c r="E40" s="134">
        <f t="shared" si="0"/>
        <v>29921</v>
      </c>
      <c r="F40" s="113">
        <v>5306</v>
      </c>
      <c r="G40" s="113">
        <v>2151</v>
      </c>
      <c r="H40" s="113">
        <v>24615</v>
      </c>
      <c r="I40" s="134">
        <f t="shared" si="9"/>
        <v>50281</v>
      </c>
      <c r="J40" s="113">
        <v>50063</v>
      </c>
      <c r="K40" s="113">
        <v>4331</v>
      </c>
      <c r="L40" s="113">
        <v>5806</v>
      </c>
      <c r="M40" s="113">
        <f t="shared" si="6"/>
        <v>218</v>
      </c>
      <c r="N40" s="113">
        <v>16</v>
      </c>
      <c r="O40" s="113">
        <v>202</v>
      </c>
      <c r="P40" s="134">
        <f t="shared" si="7"/>
        <v>16719</v>
      </c>
      <c r="Q40" s="113">
        <v>8848</v>
      </c>
      <c r="R40" s="113">
        <v>7871</v>
      </c>
      <c r="S40" s="134">
        <f t="shared" si="8"/>
        <v>269683</v>
      </c>
      <c r="T40" s="114">
        <v>60616</v>
      </c>
      <c r="U40" s="114">
        <v>109587</v>
      </c>
      <c r="V40" s="114">
        <v>50028</v>
      </c>
      <c r="W40" s="114">
        <v>49452</v>
      </c>
    </row>
    <row r="41" spans="1:23" x14ac:dyDescent="0.2">
      <c r="A41" s="115">
        <v>29</v>
      </c>
      <c r="B41" s="71" t="s">
        <v>100</v>
      </c>
      <c r="C41" s="30" t="s">
        <v>101</v>
      </c>
      <c r="D41" s="134">
        <f t="shared" si="2"/>
        <v>68300</v>
      </c>
      <c r="E41" s="134">
        <f t="shared" si="0"/>
        <v>5650</v>
      </c>
      <c r="F41" s="113">
        <v>1017</v>
      </c>
      <c r="G41" s="113">
        <v>326</v>
      </c>
      <c r="H41" s="113">
        <v>4633</v>
      </c>
      <c r="I41" s="134">
        <f t="shared" si="9"/>
        <v>9689</v>
      </c>
      <c r="J41" s="113">
        <v>9599</v>
      </c>
      <c r="K41" s="113">
        <v>1136</v>
      </c>
      <c r="L41" s="113">
        <v>1113</v>
      </c>
      <c r="M41" s="113">
        <f t="shared" si="6"/>
        <v>90</v>
      </c>
      <c r="N41" s="113">
        <v>5</v>
      </c>
      <c r="O41" s="113">
        <v>85</v>
      </c>
      <c r="P41" s="134">
        <f t="shared" si="7"/>
        <v>2793</v>
      </c>
      <c r="Q41" s="113">
        <v>1254</v>
      </c>
      <c r="R41" s="113">
        <v>1539</v>
      </c>
      <c r="S41" s="134">
        <f t="shared" si="8"/>
        <v>50168</v>
      </c>
      <c r="T41" s="114">
        <v>8947</v>
      </c>
      <c r="U41" s="114">
        <v>20382</v>
      </c>
      <c r="V41" s="114">
        <v>2946</v>
      </c>
      <c r="W41" s="114">
        <v>17893</v>
      </c>
    </row>
    <row r="42" spans="1:23" x14ac:dyDescent="0.2">
      <c r="A42" s="115">
        <v>30</v>
      </c>
      <c r="B42" s="611" t="s">
        <v>102</v>
      </c>
      <c r="C42" s="30" t="s">
        <v>103</v>
      </c>
      <c r="D42" s="134">
        <f t="shared" si="2"/>
        <v>247700</v>
      </c>
      <c r="E42" s="134">
        <f t="shared" si="0"/>
        <v>20119</v>
      </c>
      <c r="F42" s="113">
        <v>3667</v>
      </c>
      <c r="G42" s="113">
        <v>162</v>
      </c>
      <c r="H42" s="113">
        <v>16452</v>
      </c>
      <c r="I42" s="134">
        <f t="shared" si="9"/>
        <v>34867</v>
      </c>
      <c r="J42" s="113">
        <v>34600</v>
      </c>
      <c r="K42" s="113">
        <v>1138</v>
      </c>
      <c r="L42" s="113">
        <v>4013</v>
      </c>
      <c r="M42" s="113">
        <f t="shared" si="6"/>
        <v>267</v>
      </c>
      <c r="N42" s="113">
        <v>75</v>
      </c>
      <c r="O42" s="113">
        <v>192</v>
      </c>
      <c r="P42" s="134">
        <f t="shared" si="7"/>
        <v>10819</v>
      </c>
      <c r="Q42" s="113">
        <v>5216</v>
      </c>
      <c r="R42" s="113">
        <v>5603</v>
      </c>
      <c r="S42" s="134">
        <f t="shared" si="8"/>
        <v>181895</v>
      </c>
      <c r="T42" s="114">
        <v>43090</v>
      </c>
      <c r="U42" s="114">
        <v>63163</v>
      </c>
      <c r="V42" s="114">
        <v>40018</v>
      </c>
      <c r="W42" s="114">
        <v>35624</v>
      </c>
    </row>
    <row r="43" spans="1:23" x14ac:dyDescent="0.2">
      <c r="A43" s="115">
        <v>31</v>
      </c>
      <c r="B43" s="71" t="s">
        <v>104</v>
      </c>
      <c r="C43" s="30" t="s">
        <v>105</v>
      </c>
      <c r="D43" s="134">
        <f t="shared" si="2"/>
        <v>89382</v>
      </c>
      <c r="E43" s="134">
        <f t="shared" si="0"/>
        <v>7552</v>
      </c>
      <c r="F43" s="113">
        <v>1348</v>
      </c>
      <c r="G43" s="113">
        <v>239</v>
      </c>
      <c r="H43" s="113">
        <v>6204</v>
      </c>
      <c r="I43" s="134">
        <f t="shared" si="9"/>
        <v>12811</v>
      </c>
      <c r="J43" s="113">
        <v>12716</v>
      </c>
      <c r="K43" s="113">
        <v>4972</v>
      </c>
      <c r="L43" s="113">
        <v>1475</v>
      </c>
      <c r="M43" s="113">
        <f t="shared" si="6"/>
        <v>95</v>
      </c>
      <c r="N43" s="113">
        <v>55</v>
      </c>
      <c r="O43" s="113">
        <v>40</v>
      </c>
      <c r="P43" s="134">
        <f t="shared" si="7"/>
        <v>3731</v>
      </c>
      <c r="Q43" s="113">
        <v>1658</v>
      </c>
      <c r="R43" s="113">
        <v>2073</v>
      </c>
      <c r="S43" s="134">
        <f t="shared" si="8"/>
        <v>65288</v>
      </c>
      <c r="T43" s="114">
        <v>10571</v>
      </c>
      <c r="U43" s="114">
        <v>21746</v>
      </c>
      <c r="V43" s="114">
        <v>14832</v>
      </c>
      <c r="W43" s="114">
        <v>18139</v>
      </c>
    </row>
    <row r="44" spans="1:23" x14ac:dyDescent="0.2">
      <c r="A44" s="115">
        <v>32</v>
      </c>
      <c r="B44" s="70" t="s">
        <v>106</v>
      </c>
      <c r="C44" s="30" t="s">
        <v>107</v>
      </c>
      <c r="D44" s="134">
        <f t="shared" si="2"/>
        <v>239666</v>
      </c>
      <c r="E44" s="134">
        <f t="shared" si="0"/>
        <v>19997</v>
      </c>
      <c r="F44" s="113">
        <v>3529</v>
      </c>
      <c r="G44" s="113">
        <v>794</v>
      </c>
      <c r="H44" s="113">
        <v>16468</v>
      </c>
      <c r="I44" s="134">
        <f t="shared" si="9"/>
        <v>33522</v>
      </c>
      <c r="J44" s="113">
        <v>33298</v>
      </c>
      <c r="K44" s="113">
        <v>1532</v>
      </c>
      <c r="L44" s="113">
        <v>3862</v>
      </c>
      <c r="M44" s="113">
        <f t="shared" si="6"/>
        <v>224</v>
      </c>
      <c r="N44" s="113">
        <v>74</v>
      </c>
      <c r="O44" s="113">
        <v>150</v>
      </c>
      <c r="P44" s="134">
        <f t="shared" si="7"/>
        <v>10597</v>
      </c>
      <c r="Q44" s="113">
        <v>5239</v>
      </c>
      <c r="R44" s="113">
        <v>5358</v>
      </c>
      <c r="S44" s="134">
        <f t="shared" si="8"/>
        <v>175550</v>
      </c>
      <c r="T44" s="114">
        <v>24367</v>
      </c>
      <c r="U44" s="114">
        <v>87163</v>
      </c>
      <c r="V44" s="114">
        <v>33381</v>
      </c>
      <c r="W44" s="114">
        <v>30639</v>
      </c>
    </row>
    <row r="45" spans="1:23" x14ac:dyDescent="0.2">
      <c r="A45" s="115">
        <v>33</v>
      </c>
      <c r="B45" s="116" t="s">
        <v>108</v>
      </c>
      <c r="C45" s="117" t="s">
        <v>109</v>
      </c>
      <c r="D45" s="134">
        <f t="shared" si="2"/>
        <v>80054</v>
      </c>
      <c r="E45" s="134">
        <f t="shared" si="0"/>
        <v>6489</v>
      </c>
      <c r="F45" s="113">
        <v>1207</v>
      </c>
      <c r="G45" s="113">
        <v>300</v>
      </c>
      <c r="H45" s="113">
        <v>5282</v>
      </c>
      <c r="I45" s="134">
        <f t="shared" si="9"/>
        <v>11424</v>
      </c>
      <c r="J45" s="113">
        <v>11389</v>
      </c>
      <c r="K45" s="113">
        <v>900</v>
      </c>
      <c r="L45" s="113">
        <v>1321</v>
      </c>
      <c r="M45" s="113">
        <f t="shared" si="6"/>
        <v>35</v>
      </c>
      <c r="N45" s="113">
        <v>20</v>
      </c>
      <c r="O45" s="113">
        <v>15</v>
      </c>
      <c r="P45" s="134">
        <f t="shared" si="7"/>
        <v>3249</v>
      </c>
      <c r="Q45" s="113">
        <v>1459</v>
      </c>
      <c r="R45" s="113">
        <v>1790</v>
      </c>
      <c r="S45" s="134">
        <f t="shared" si="8"/>
        <v>58892</v>
      </c>
      <c r="T45" s="114">
        <v>13232</v>
      </c>
      <c r="U45" s="114">
        <v>18702</v>
      </c>
      <c r="V45" s="114">
        <v>12006</v>
      </c>
      <c r="W45" s="114">
        <v>14952</v>
      </c>
    </row>
    <row r="46" spans="1:23" x14ac:dyDescent="0.2">
      <c r="A46" s="115">
        <v>34</v>
      </c>
      <c r="B46" s="70" t="s">
        <v>110</v>
      </c>
      <c r="C46" s="30" t="s">
        <v>111</v>
      </c>
      <c r="D46" s="134">
        <f t="shared" si="2"/>
        <v>48709</v>
      </c>
      <c r="E46" s="134">
        <f t="shared" si="0"/>
        <v>3490</v>
      </c>
      <c r="F46" s="113">
        <v>776</v>
      </c>
      <c r="G46" s="113">
        <v>113</v>
      </c>
      <c r="H46" s="113">
        <v>2714</v>
      </c>
      <c r="I46" s="134">
        <f t="shared" si="9"/>
        <v>7445</v>
      </c>
      <c r="J46" s="113">
        <v>7320</v>
      </c>
      <c r="K46" s="113">
        <v>405</v>
      </c>
      <c r="L46" s="113">
        <v>849</v>
      </c>
      <c r="M46" s="113">
        <f t="shared" si="6"/>
        <v>125</v>
      </c>
      <c r="N46" s="113">
        <v>65</v>
      </c>
      <c r="O46" s="113">
        <v>60</v>
      </c>
      <c r="P46" s="134">
        <f t="shared" si="7"/>
        <v>1772</v>
      </c>
      <c r="Q46" s="113">
        <v>803</v>
      </c>
      <c r="R46" s="113">
        <v>969</v>
      </c>
      <c r="S46" s="134">
        <f t="shared" si="8"/>
        <v>36002</v>
      </c>
      <c r="T46" s="114">
        <v>9143</v>
      </c>
      <c r="U46" s="114">
        <v>15361</v>
      </c>
      <c r="V46" s="114">
        <v>3677</v>
      </c>
      <c r="W46" s="114">
        <v>7821</v>
      </c>
    </row>
    <row r="47" spans="1:23" x14ac:dyDescent="0.2">
      <c r="A47" s="115">
        <v>35</v>
      </c>
      <c r="B47" s="70" t="s">
        <v>112</v>
      </c>
      <c r="C47" s="30" t="s">
        <v>113</v>
      </c>
      <c r="D47" s="134">
        <f t="shared" si="2"/>
        <v>87390</v>
      </c>
      <c r="E47" s="134">
        <f t="shared" si="0"/>
        <v>6252</v>
      </c>
      <c r="F47" s="113">
        <v>1377</v>
      </c>
      <c r="G47" s="113">
        <v>235</v>
      </c>
      <c r="H47" s="113">
        <v>4875</v>
      </c>
      <c r="I47" s="134">
        <f t="shared" si="9"/>
        <v>13075</v>
      </c>
      <c r="J47" s="113">
        <v>12994</v>
      </c>
      <c r="K47" s="113">
        <v>1550</v>
      </c>
      <c r="L47" s="113">
        <v>1507</v>
      </c>
      <c r="M47" s="113">
        <f t="shared" si="6"/>
        <v>81</v>
      </c>
      <c r="N47" s="113">
        <v>0</v>
      </c>
      <c r="O47" s="113">
        <v>81</v>
      </c>
      <c r="P47" s="134">
        <f t="shared" si="7"/>
        <v>3322</v>
      </c>
      <c r="Q47" s="113">
        <v>1481</v>
      </c>
      <c r="R47" s="113">
        <v>1841</v>
      </c>
      <c r="S47" s="134">
        <f t="shared" si="8"/>
        <v>64741</v>
      </c>
      <c r="T47" s="114">
        <v>25241</v>
      </c>
      <c r="U47" s="114">
        <v>21135</v>
      </c>
      <c r="V47" s="114">
        <v>7499</v>
      </c>
      <c r="W47" s="114">
        <v>10866</v>
      </c>
    </row>
    <row r="48" spans="1:23" x14ac:dyDescent="0.2">
      <c r="A48" s="115">
        <v>36</v>
      </c>
      <c r="B48" s="611" t="s">
        <v>114</v>
      </c>
      <c r="C48" s="30" t="s">
        <v>115</v>
      </c>
      <c r="D48" s="134">
        <f t="shared" si="2"/>
        <v>37994</v>
      </c>
      <c r="E48" s="134">
        <f t="shared" si="0"/>
        <v>2377</v>
      </c>
      <c r="F48" s="113">
        <v>629</v>
      </c>
      <c r="G48" s="113">
        <v>42</v>
      </c>
      <c r="H48" s="113">
        <v>1748</v>
      </c>
      <c r="I48" s="134">
        <f t="shared" si="9"/>
        <v>5965</v>
      </c>
      <c r="J48" s="113">
        <v>5934</v>
      </c>
      <c r="K48" s="113">
        <v>86</v>
      </c>
      <c r="L48" s="113">
        <v>688</v>
      </c>
      <c r="M48" s="113">
        <f t="shared" si="6"/>
        <v>31</v>
      </c>
      <c r="N48" s="113">
        <v>0</v>
      </c>
      <c r="O48" s="113">
        <v>31</v>
      </c>
      <c r="P48" s="134">
        <f t="shared" si="7"/>
        <v>1434</v>
      </c>
      <c r="Q48" s="113">
        <v>637</v>
      </c>
      <c r="R48" s="113">
        <v>797</v>
      </c>
      <c r="S48" s="134">
        <f t="shared" si="8"/>
        <v>28218</v>
      </c>
      <c r="T48" s="114">
        <v>7531</v>
      </c>
      <c r="U48" s="114">
        <v>8705</v>
      </c>
      <c r="V48" s="114">
        <v>8031</v>
      </c>
      <c r="W48" s="114">
        <v>3951</v>
      </c>
    </row>
    <row r="49" spans="1:23" x14ac:dyDescent="0.2">
      <c r="A49" s="115">
        <v>37</v>
      </c>
      <c r="B49" s="71" t="s">
        <v>116</v>
      </c>
      <c r="C49" s="30" t="s">
        <v>117</v>
      </c>
      <c r="D49" s="134">
        <f t="shared" si="2"/>
        <v>28610</v>
      </c>
      <c r="E49" s="134">
        <f t="shared" si="0"/>
        <v>906</v>
      </c>
      <c r="F49" s="113">
        <v>906</v>
      </c>
      <c r="G49" s="113">
        <v>73</v>
      </c>
      <c r="H49" s="113">
        <v>0</v>
      </c>
      <c r="I49" s="134">
        <f t="shared" si="9"/>
        <v>8552</v>
      </c>
      <c r="J49" s="113">
        <v>8552</v>
      </c>
      <c r="K49" s="113">
        <v>452</v>
      </c>
      <c r="L49" s="113">
        <v>992</v>
      </c>
      <c r="M49" s="113">
        <f t="shared" si="6"/>
        <v>0</v>
      </c>
      <c r="N49" s="113">
        <v>0</v>
      </c>
      <c r="O49" s="113">
        <v>0</v>
      </c>
      <c r="P49" s="134">
        <f t="shared" si="7"/>
        <v>2126</v>
      </c>
      <c r="Q49" s="113">
        <v>836</v>
      </c>
      <c r="R49" s="113">
        <v>1290</v>
      </c>
      <c r="S49" s="134">
        <f t="shared" si="8"/>
        <v>17026</v>
      </c>
      <c r="T49" s="114">
        <v>1800</v>
      </c>
      <c r="U49" s="114">
        <v>15116</v>
      </c>
      <c r="V49" s="114">
        <v>0</v>
      </c>
      <c r="W49" s="114">
        <v>110</v>
      </c>
    </row>
    <row r="50" spans="1:23" x14ac:dyDescent="0.2">
      <c r="A50" s="115">
        <v>38</v>
      </c>
      <c r="B50" s="611" t="s">
        <v>28</v>
      </c>
      <c r="C50" s="30" t="s">
        <v>29</v>
      </c>
      <c r="D50" s="134">
        <f t="shared" si="2"/>
        <v>333501</v>
      </c>
      <c r="E50" s="134">
        <f t="shared" si="0"/>
        <v>29108</v>
      </c>
      <c r="F50" s="113">
        <v>4711</v>
      </c>
      <c r="G50" s="113">
        <v>705</v>
      </c>
      <c r="H50" s="113">
        <v>24397</v>
      </c>
      <c r="I50" s="134">
        <f t="shared" si="9"/>
        <v>44768</v>
      </c>
      <c r="J50" s="113">
        <v>44453</v>
      </c>
      <c r="K50" s="113">
        <v>1427</v>
      </c>
      <c r="L50" s="113">
        <v>5155</v>
      </c>
      <c r="M50" s="113">
        <f t="shared" si="6"/>
        <v>315</v>
      </c>
      <c r="N50" s="113">
        <v>164</v>
      </c>
      <c r="O50" s="113">
        <v>151</v>
      </c>
      <c r="P50" s="134">
        <f t="shared" si="7"/>
        <v>14959</v>
      </c>
      <c r="Q50" s="113">
        <v>7709</v>
      </c>
      <c r="R50" s="113">
        <v>7250</v>
      </c>
      <c r="S50" s="134">
        <f t="shared" si="8"/>
        <v>244666</v>
      </c>
      <c r="T50" s="114">
        <v>33849</v>
      </c>
      <c r="U50" s="114">
        <v>119728</v>
      </c>
      <c r="V50" s="114">
        <v>18535</v>
      </c>
      <c r="W50" s="114">
        <v>72554</v>
      </c>
    </row>
    <row r="51" spans="1:23" x14ac:dyDescent="0.2">
      <c r="A51" s="115">
        <v>39</v>
      </c>
      <c r="B51" s="70" t="s">
        <v>118</v>
      </c>
      <c r="C51" s="30" t="s">
        <v>119</v>
      </c>
      <c r="D51" s="134">
        <f t="shared" si="2"/>
        <v>70178</v>
      </c>
      <c r="E51" s="134">
        <f t="shared" si="0"/>
        <v>5411</v>
      </c>
      <c r="F51" s="113">
        <v>1093</v>
      </c>
      <c r="G51" s="113">
        <v>183</v>
      </c>
      <c r="H51" s="113">
        <v>4318</v>
      </c>
      <c r="I51" s="134">
        <f t="shared" si="9"/>
        <v>10417</v>
      </c>
      <c r="J51" s="113">
        <v>10310</v>
      </c>
      <c r="K51" s="113">
        <v>407</v>
      </c>
      <c r="L51" s="113">
        <v>1196</v>
      </c>
      <c r="M51" s="113">
        <f t="shared" si="6"/>
        <v>107</v>
      </c>
      <c r="N51" s="113">
        <v>75</v>
      </c>
      <c r="O51" s="113">
        <v>32</v>
      </c>
      <c r="P51" s="134">
        <f t="shared" si="7"/>
        <v>2644</v>
      </c>
      <c r="Q51" s="113">
        <v>1210</v>
      </c>
      <c r="R51" s="113">
        <v>1434</v>
      </c>
      <c r="S51" s="134">
        <f t="shared" si="8"/>
        <v>51706</v>
      </c>
      <c r="T51" s="114">
        <v>16587</v>
      </c>
      <c r="U51" s="114">
        <v>18495</v>
      </c>
      <c r="V51" s="114">
        <v>7603</v>
      </c>
      <c r="W51" s="114">
        <v>9021</v>
      </c>
    </row>
    <row r="52" spans="1:23" x14ac:dyDescent="0.2">
      <c r="A52" s="115">
        <v>40</v>
      </c>
      <c r="B52" s="70" t="s">
        <v>120</v>
      </c>
      <c r="C52" s="30" t="s">
        <v>121</v>
      </c>
      <c r="D52" s="134">
        <f t="shared" si="2"/>
        <v>255403</v>
      </c>
      <c r="E52" s="134">
        <f t="shared" si="0"/>
        <v>20428</v>
      </c>
      <c r="F52" s="113">
        <v>3824</v>
      </c>
      <c r="G52" s="113">
        <v>2103</v>
      </c>
      <c r="H52" s="113">
        <v>16604</v>
      </c>
      <c r="I52" s="134">
        <f t="shared" si="9"/>
        <v>36218</v>
      </c>
      <c r="J52" s="113">
        <v>36079</v>
      </c>
      <c r="K52" s="113">
        <v>2243</v>
      </c>
      <c r="L52" s="113">
        <v>4184</v>
      </c>
      <c r="M52" s="113">
        <f t="shared" si="6"/>
        <v>139</v>
      </c>
      <c r="N52" s="113">
        <v>67</v>
      </c>
      <c r="O52" s="113">
        <v>72</v>
      </c>
      <c r="P52" s="134">
        <f t="shared" si="7"/>
        <v>10968</v>
      </c>
      <c r="Q52" s="113">
        <v>5551</v>
      </c>
      <c r="R52" s="113">
        <v>5417</v>
      </c>
      <c r="S52" s="134">
        <f t="shared" si="8"/>
        <v>187789</v>
      </c>
      <c r="T52" s="114">
        <v>24128</v>
      </c>
      <c r="U52" s="114">
        <v>110914</v>
      </c>
      <c r="V52" s="114">
        <v>10152</v>
      </c>
      <c r="W52" s="114">
        <v>42595</v>
      </c>
    </row>
    <row r="53" spans="1:23" x14ac:dyDescent="0.2">
      <c r="A53" s="115">
        <v>41</v>
      </c>
      <c r="B53" s="611" t="s">
        <v>122</v>
      </c>
      <c r="C53" s="30" t="s">
        <v>123</v>
      </c>
      <c r="D53" s="134">
        <f t="shared" si="2"/>
        <v>53580</v>
      </c>
      <c r="E53" s="134">
        <f t="shared" si="0"/>
        <v>4018</v>
      </c>
      <c r="F53" s="113">
        <v>836</v>
      </c>
      <c r="G53" s="113">
        <v>10</v>
      </c>
      <c r="H53" s="113">
        <v>3182</v>
      </c>
      <c r="I53" s="134">
        <f t="shared" si="9"/>
        <v>7990</v>
      </c>
      <c r="J53" s="113">
        <v>7888</v>
      </c>
      <c r="K53" s="113">
        <v>135</v>
      </c>
      <c r="L53" s="113">
        <v>915</v>
      </c>
      <c r="M53" s="113">
        <f t="shared" si="6"/>
        <v>102</v>
      </c>
      <c r="N53" s="113">
        <v>60</v>
      </c>
      <c r="O53" s="113">
        <v>42</v>
      </c>
      <c r="P53" s="134">
        <f t="shared" si="7"/>
        <v>1895</v>
      </c>
      <c r="Q53" s="113">
        <v>861</v>
      </c>
      <c r="R53" s="113">
        <v>1034</v>
      </c>
      <c r="S53" s="134">
        <f t="shared" si="8"/>
        <v>39677</v>
      </c>
      <c r="T53" s="114">
        <v>12494</v>
      </c>
      <c r="U53" s="114">
        <v>13460</v>
      </c>
      <c r="V53" s="114">
        <v>4379</v>
      </c>
      <c r="W53" s="114">
        <v>9344</v>
      </c>
    </row>
    <row r="54" spans="1:23" x14ac:dyDescent="0.2">
      <c r="A54" s="115">
        <v>42</v>
      </c>
      <c r="B54" s="71" t="s">
        <v>124</v>
      </c>
      <c r="C54" s="30" t="s">
        <v>125</v>
      </c>
      <c r="D54" s="134">
        <f t="shared" si="2"/>
        <v>73239</v>
      </c>
      <c r="E54" s="134">
        <f t="shared" si="0"/>
        <v>5202</v>
      </c>
      <c r="F54" s="113">
        <v>1142</v>
      </c>
      <c r="G54" s="113">
        <v>90</v>
      </c>
      <c r="H54" s="113">
        <v>4060</v>
      </c>
      <c r="I54" s="134">
        <f t="shared" si="9"/>
        <v>10825</v>
      </c>
      <c r="J54" s="113">
        <v>10774</v>
      </c>
      <c r="K54" s="113">
        <v>864</v>
      </c>
      <c r="L54" s="113">
        <v>1250</v>
      </c>
      <c r="M54" s="113">
        <f t="shared" si="6"/>
        <v>51</v>
      </c>
      <c r="N54" s="113">
        <v>0</v>
      </c>
      <c r="O54" s="113">
        <v>51</v>
      </c>
      <c r="P54" s="134">
        <f t="shared" si="7"/>
        <v>2798</v>
      </c>
      <c r="Q54" s="113">
        <v>1282</v>
      </c>
      <c r="R54" s="113">
        <v>1516</v>
      </c>
      <c r="S54" s="134">
        <f t="shared" si="8"/>
        <v>54414</v>
      </c>
      <c r="T54" s="114">
        <v>9379</v>
      </c>
      <c r="U54" s="114">
        <v>28404</v>
      </c>
      <c r="V54" s="114">
        <v>6849</v>
      </c>
      <c r="W54" s="114">
        <v>9782</v>
      </c>
    </row>
    <row r="55" spans="1:23" x14ac:dyDescent="0.2">
      <c r="A55" s="115">
        <v>43</v>
      </c>
      <c r="B55" s="611" t="s">
        <v>126</v>
      </c>
      <c r="C55" s="30" t="s">
        <v>127</v>
      </c>
      <c r="D55" s="134">
        <f t="shared" si="2"/>
        <v>87163</v>
      </c>
      <c r="E55" s="134">
        <f t="shared" si="0"/>
        <v>6710</v>
      </c>
      <c r="F55" s="113">
        <v>1338</v>
      </c>
      <c r="G55" s="113">
        <v>210</v>
      </c>
      <c r="H55" s="113">
        <v>5372</v>
      </c>
      <c r="I55" s="134">
        <f t="shared" si="9"/>
        <v>12735</v>
      </c>
      <c r="J55" s="113">
        <v>12627</v>
      </c>
      <c r="K55" s="113">
        <v>1260</v>
      </c>
      <c r="L55" s="113">
        <v>1464</v>
      </c>
      <c r="M55" s="113">
        <f t="shared" si="6"/>
        <v>108</v>
      </c>
      <c r="N55" s="113">
        <v>65</v>
      </c>
      <c r="O55" s="113">
        <v>43</v>
      </c>
      <c r="P55" s="134">
        <f t="shared" si="7"/>
        <v>3369</v>
      </c>
      <c r="Q55" s="113">
        <v>1579</v>
      </c>
      <c r="R55" s="113">
        <v>1790</v>
      </c>
      <c r="S55" s="134">
        <f t="shared" si="8"/>
        <v>64349</v>
      </c>
      <c r="T55" s="114">
        <v>10786</v>
      </c>
      <c r="U55" s="114">
        <v>27434</v>
      </c>
      <c r="V55" s="114">
        <v>13904</v>
      </c>
      <c r="W55" s="114">
        <v>12225</v>
      </c>
    </row>
    <row r="56" spans="1:23" x14ac:dyDescent="0.2">
      <c r="A56" s="115">
        <v>44</v>
      </c>
      <c r="B56" s="71" t="s">
        <v>128</v>
      </c>
      <c r="C56" s="30" t="s">
        <v>129</v>
      </c>
      <c r="D56" s="134">
        <f t="shared" si="2"/>
        <v>105035</v>
      </c>
      <c r="E56" s="134">
        <f t="shared" si="0"/>
        <v>8389</v>
      </c>
      <c r="F56" s="113">
        <v>1581</v>
      </c>
      <c r="G56" s="113">
        <v>71</v>
      </c>
      <c r="H56" s="113">
        <v>6808</v>
      </c>
      <c r="I56" s="134">
        <f t="shared" si="9"/>
        <v>14997</v>
      </c>
      <c r="J56" s="113">
        <v>14920</v>
      </c>
      <c r="K56" s="113">
        <v>507</v>
      </c>
      <c r="L56" s="113">
        <v>1730</v>
      </c>
      <c r="M56" s="113">
        <f t="shared" si="6"/>
        <v>77</v>
      </c>
      <c r="N56" s="113">
        <v>20</v>
      </c>
      <c r="O56" s="113">
        <v>57</v>
      </c>
      <c r="P56" s="134">
        <f t="shared" si="7"/>
        <v>4348</v>
      </c>
      <c r="Q56" s="113">
        <v>2117</v>
      </c>
      <c r="R56" s="113">
        <v>2231</v>
      </c>
      <c r="S56" s="134">
        <f t="shared" si="8"/>
        <v>77301</v>
      </c>
      <c r="T56" s="114">
        <v>14645</v>
      </c>
      <c r="U56" s="114">
        <v>36351</v>
      </c>
      <c r="V56" s="114">
        <v>784</v>
      </c>
      <c r="W56" s="114">
        <v>25521</v>
      </c>
    </row>
    <row r="57" spans="1:23" x14ac:dyDescent="0.2">
      <c r="A57" s="115">
        <v>45</v>
      </c>
      <c r="B57" s="611" t="s">
        <v>130</v>
      </c>
      <c r="C57" s="30" t="s">
        <v>131</v>
      </c>
      <c r="D57" s="134">
        <f t="shared" si="2"/>
        <v>34492</v>
      </c>
      <c r="E57" s="134">
        <f t="shared" si="0"/>
        <v>2243</v>
      </c>
      <c r="F57" s="113">
        <v>563</v>
      </c>
      <c r="G57" s="113">
        <v>96</v>
      </c>
      <c r="H57" s="113">
        <v>1680</v>
      </c>
      <c r="I57" s="134">
        <f t="shared" si="9"/>
        <v>5367</v>
      </c>
      <c r="J57" s="113">
        <v>5311</v>
      </c>
      <c r="K57" s="113">
        <v>416</v>
      </c>
      <c r="L57" s="113">
        <v>616</v>
      </c>
      <c r="M57" s="113">
        <f t="shared" si="6"/>
        <v>56</v>
      </c>
      <c r="N57" s="113">
        <v>6</v>
      </c>
      <c r="O57" s="113">
        <v>50</v>
      </c>
      <c r="P57" s="134">
        <f t="shared" si="7"/>
        <v>1317</v>
      </c>
      <c r="Q57" s="113">
        <v>568</v>
      </c>
      <c r="R57" s="113">
        <v>749</v>
      </c>
      <c r="S57" s="134">
        <f t="shared" si="8"/>
        <v>25565</v>
      </c>
      <c r="T57" s="114">
        <v>13130</v>
      </c>
      <c r="U57" s="114">
        <v>6763</v>
      </c>
      <c r="V57" s="114">
        <v>1884</v>
      </c>
      <c r="W57" s="114">
        <v>3788</v>
      </c>
    </row>
    <row r="58" spans="1:23" x14ac:dyDescent="0.2">
      <c r="A58" s="115">
        <v>46</v>
      </c>
      <c r="B58" s="71" t="s">
        <v>132</v>
      </c>
      <c r="C58" s="30" t="s">
        <v>133</v>
      </c>
      <c r="D58" s="134">
        <f t="shared" si="2"/>
        <v>67959</v>
      </c>
      <c r="E58" s="134">
        <f t="shared" si="0"/>
        <v>5221</v>
      </c>
      <c r="F58" s="113">
        <v>1030</v>
      </c>
      <c r="G58" s="113">
        <v>117</v>
      </c>
      <c r="H58" s="113">
        <v>4191</v>
      </c>
      <c r="I58" s="134">
        <f t="shared" si="9"/>
        <v>9734</v>
      </c>
      <c r="J58" s="113">
        <v>9714</v>
      </c>
      <c r="K58" s="113">
        <v>318</v>
      </c>
      <c r="L58" s="113">
        <v>1127</v>
      </c>
      <c r="M58" s="113">
        <f t="shared" si="6"/>
        <v>20</v>
      </c>
      <c r="N58" s="113">
        <v>0</v>
      </c>
      <c r="O58" s="113">
        <v>20</v>
      </c>
      <c r="P58" s="134">
        <f t="shared" si="7"/>
        <v>2321</v>
      </c>
      <c r="Q58" s="113">
        <v>1071</v>
      </c>
      <c r="R58" s="113">
        <v>1250</v>
      </c>
      <c r="S58" s="134">
        <f t="shared" si="8"/>
        <v>50683</v>
      </c>
      <c r="T58" s="114">
        <v>13202</v>
      </c>
      <c r="U58" s="114">
        <v>13761</v>
      </c>
      <c r="V58" s="114">
        <v>11490</v>
      </c>
      <c r="W58" s="114">
        <v>12230</v>
      </c>
    </row>
    <row r="59" spans="1:23" x14ac:dyDescent="0.2">
      <c r="A59" s="115">
        <v>47</v>
      </c>
      <c r="B59" s="611" t="s">
        <v>134</v>
      </c>
      <c r="C59" s="30" t="s">
        <v>135</v>
      </c>
      <c r="D59" s="134">
        <f t="shared" si="2"/>
        <v>104969</v>
      </c>
      <c r="E59" s="134">
        <f t="shared" si="0"/>
        <v>7975</v>
      </c>
      <c r="F59" s="113">
        <v>1627</v>
      </c>
      <c r="G59" s="113">
        <v>595</v>
      </c>
      <c r="H59" s="113">
        <v>6348</v>
      </c>
      <c r="I59" s="134">
        <f t="shared" si="9"/>
        <v>15438</v>
      </c>
      <c r="J59" s="113">
        <v>15356</v>
      </c>
      <c r="K59" s="113">
        <v>1268</v>
      </c>
      <c r="L59" s="113">
        <v>1781</v>
      </c>
      <c r="M59" s="113">
        <f t="shared" si="6"/>
        <v>82</v>
      </c>
      <c r="N59" s="113">
        <v>18</v>
      </c>
      <c r="O59" s="113">
        <v>64</v>
      </c>
      <c r="P59" s="134">
        <f t="shared" si="7"/>
        <v>4191</v>
      </c>
      <c r="Q59" s="113">
        <v>1944</v>
      </c>
      <c r="R59" s="113">
        <v>2247</v>
      </c>
      <c r="S59" s="134">
        <f t="shared" si="8"/>
        <v>77365</v>
      </c>
      <c r="T59" s="114">
        <v>29636</v>
      </c>
      <c r="U59" s="114">
        <v>21701</v>
      </c>
      <c r="V59" s="114">
        <v>11301</v>
      </c>
      <c r="W59" s="114">
        <v>14727</v>
      </c>
    </row>
    <row r="60" spans="1:23" x14ac:dyDescent="0.2">
      <c r="A60" s="115">
        <v>48</v>
      </c>
      <c r="B60" s="611" t="s">
        <v>136</v>
      </c>
      <c r="C60" s="30" t="s">
        <v>137</v>
      </c>
      <c r="D60" s="134">
        <f t="shared" si="2"/>
        <v>384639</v>
      </c>
      <c r="E60" s="134">
        <f t="shared" si="0"/>
        <v>32411</v>
      </c>
      <c r="F60" s="113">
        <v>5565</v>
      </c>
      <c r="G60" s="113">
        <v>1430</v>
      </c>
      <c r="H60" s="113">
        <v>26846</v>
      </c>
      <c r="I60" s="134">
        <f t="shared" si="9"/>
        <v>52933</v>
      </c>
      <c r="J60" s="113">
        <v>52506</v>
      </c>
      <c r="K60" s="113">
        <v>3870</v>
      </c>
      <c r="L60" s="113">
        <v>6089</v>
      </c>
      <c r="M60" s="113">
        <f t="shared" si="6"/>
        <v>427</v>
      </c>
      <c r="N60" s="113">
        <v>287</v>
      </c>
      <c r="O60" s="113">
        <v>140</v>
      </c>
      <c r="P60" s="134">
        <f t="shared" si="7"/>
        <v>16919</v>
      </c>
      <c r="Q60" s="113">
        <v>8499</v>
      </c>
      <c r="R60" s="113">
        <v>8420</v>
      </c>
      <c r="S60" s="134">
        <f t="shared" si="8"/>
        <v>282376</v>
      </c>
      <c r="T60" s="114">
        <v>55809</v>
      </c>
      <c r="U60" s="114">
        <v>118031</v>
      </c>
      <c r="V60" s="114">
        <v>33569</v>
      </c>
      <c r="W60" s="114">
        <v>74967</v>
      </c>
    </row>
    <row r="61" spans="1:23" x14ac:dyDescent="0.2">
      <c r="A61" s="115">
        <v>49</v>
      </c>
      <c r="B61" s="611" t="s">
        <v>138</v>
      </c>
      <c r="C61" s="30" t="s">
        <v>139</v>
      </c>
      <c r="D61" s="134">
        <f t="shared" si="2"/>
        <v>74730</v>
      </c>
      <c r="E61" s="134">
        <f t="shared" si="0"/>
        <v>5935</v>
      </c>
      <c r="F61" s="113">
        <v>1156</v>
      </c>
      <c r="G61" s="113">
        <v>493</v>
      </c>
      <c r="H61" s="113">
        <v>4779</v>
      </c>
      <c r="I61" s="134">
        <f t="shared" si="9"/>
        <v>10952</v>
      </c>
      <c r="J61" s="113">
        <v>10912</v>
      </c>
      <c r="K61" s="113">
        <v>715</v>
      </c>
      <c r="L61" s="113">
        <v>1265</v>
      </c>
      <c r="M61" s="113">
        <f t="shared" si="6"/>
        <v>40</v>
      </c>
      <c r="N61" s="113">
        <v>6</v>
      </c>
      <c r="O61" s="113">
        <v>34</v>
      </c>
      <c r="P61" s="134">
        <f t="shared" si="7"/>
        <v>2798</v>
      </c>
      <c r="Q61" s="113">
        <v>1343</v>
      </c>
      <c r="R61" s="113">
        <v>1455</v>
      </c>
      <c r="S61" s="134">
        <f t="shared" si="8"/>
        <v>55045</v>
      </c>
      <c r="T61" s="114">
        <v>15253</v>
      </c>
      <c r="U61" s="114">
        <v>21604</v>
      </c>
      <c r="V61" s="114">
        <v>7525</v>
      </c>
      <c r="W61" s="114">
        <v>10663</v>
      </c>
    </row>
    <row r="62" spans="1:23" x14ac:dyDescent="0.2">
      <c r="A62" s="115">
        <v>50</v>
      </c>
      <c r="B62" s="611" t="s">
        <v>140</v>
      </c>
      <c r="C62" s="30" t="s">
        <v>141</v>
      </c>
      <c r="D62" s="134">
        <f t="shared" si="2"/>
        <v>55185</v>
      </c>
      <c r="E62" s="134">
        <f t="shared" si="0"/>
        <v>4073</v>
      </c>
      <c r="F62" s="113">
        <v>859</v>
      </c>
      <c r="G62" s="113">
        <v>51</v>
      </c>
      <c r="H62" s="113">
        <v>3214</v>
      </c>
      <c r="I62" s="134">
        <f t="shared" si="9"/>
        <v>8167</v>
      </c>
      <c r="J62" s="113">
        <v>8108</v>
      </c>
      <c r="K62" s="113">
        <v>648</v>
      </c>
      <c r="L62" s="113">
        <v>940</v>
      </c>
      <c r="M62" s="113">
        <f t="shared" si="6"/>
        <v>59</v>
      </c>
      <c r="N62" s="113">
        <v>15</v>
      </c>
      <c r="O62" s="113">
        <v>44</v>
      </c>
      <c r="P62" s="134">
        <f t="shared" si="7"/>
        <v>2223</v>
      </c>
      <c r="Q62" s="113">
        <v>948</v>
      </c>
      <c r="R62" s="113">
        <v>1275</v>
      </c>
      <c r="S62" s="134">
        <f t="shared" si="8"/>
        <v>40722</v>
      </c>
      <c r="T62" s="114">
        <v>12440</v>
      </c>
      <c r="U62" s="114">
        <v>11636</v>
      </c>
      <c r="V62" s="114">
        <v>8496</v>
      </c>
      <c r="W62" s="114">
        <v>8150</v>
      </c>
    </row>
    <row r="63" spans="1:23" x14ac:dyDescent="0.2">
      <c r="A63" s="115">
        <v>51</v>
      </c>
      <c r="B63" s="71" t="s">
        <v>142</v>
      </c>
      <c r="C63" s="30" t="s">
        <v>143</v>
      </c>
      <c r="D63" s="134">
        <f t="shared" si="2"/>
        <v>60568</v>
      </c>
      <c r="E63" s="134">
        <f t="shared" si="0"/>
        <v>4790</v>
      </c>
      <c r="F63" s="113">
        <v>927</v>
      </c>
      <c r="G63" s="113">
        <v>76</v>
      </c>
      <c r="H63" s="113">
        <v>3863</v>
      </c>
      <c r="I63" s="134">
        <f t="shared" si="9"/>
        <v>8792</v>
      </c>
      <c r="J63" s="113">
        <v>8746</v>
      </c>
      <c r="K63" s="113">
        <v>680</v>
      </c>
      <c r="L63" s="113">
        <v>1014</v>
      </c>
      <c r="M63" s="113">
        <f t="shared" si="6"/>
        <v>46</v>
      </c>
      <c r="N63" s="113">
        <v>5</v>
      </c>
      <c r="O63" s="113">
        <v>41</v>
      </c>
      <c r="P63" s="134">
        <f t="shared" si="7"/>
        <v>2585</v>
      </c>
      <c r="Q63" s="113">
        <v>1206</v>
      </c>
      <c r="R63" s="113">
        <v>1379</v>
      </c>
      <c r="S63" s="134">
        <f t="shared" si="8"/>
        <v>44401</v>
      </c>
      <c r="T63" s="114">
        <v>8899</v>
      </c>
      <c r="U63" s="114">
        <v>20711</v>
      </c>
      <c r="V63" s="114">
        <v>9554</v>
      </c>
      <c r="W63" s="114">
        <v>5237</v>
      </c>
    </row>
    <row r="64" spans="1:23" x14ac:dyDescent="0.2">
      <c r="A64" s="115">
        <v>52</v>
      </c>
      <c r="B64" s="611" t="s">
        <v>144</v>
      </c>
      <c r="C64" s="30" t="s">
        <v>145</v>
      </c>
      <c r="D64" s="134">
        <f t="shared" si="2"/>
        <v>0</v>
      </c>
      <c r="E64" s="134">
        <f t="shared" si="0"/>
        <v>0</v>
      </c>
      <c r="F64" s="113">
        <v>0</v>
      </c>
      <c r="G64" s="113">
        <v>0</v>
      </c>
      <c r="H64" s="113">
        <v>0</v>
      </c>
      <c r="I64" s="134">
        <f t="shared" si="9"/>
        <v>0</v>
      </c>
      <c r="J64" s="113">
        <v>0</v>
      </c>
      <c r="K64" s="113">
        <v>0</v>
      </c>
      <c r="L64" s="113">
        <v>0</v>
      </c>
      <c r="M64" s="113">
        <f t="shared" si="6"/>
        <v>0</v>
      </c>
      <c r="N64" s="113">
        <v>0</v>
      </c>
      <c r="O64" s="113">
        <v>0</v>
      </c>
      <c r="P64" s="134">
        <f t="shared" si="7"/>
        <v>0</v>
      </c>
      <c r="Q64" s="113">
        <v>0</v>
      </c>
      <c r="R64" s="113">
        <v>0</v>
      </c>
      <c r="S64" s="134">
        <f t="shared" si="8"/>
        <v>0</v>
      </c>
      <c r="T64" s="114">
        <v>0</v>
      </c>
      <c r="U64" s="114">
        <v>0</v>
      </c>
      <c r="V64" s="114">
        <v>0</v>
      </c>
      <c r="W64" s="114">
        <v>0</v>
      </c>
    </row>
    <row r="65" spans="1:23" x14ac:dyDescent="0.2">
      <c r="A65" s="115">
        <v>53</v>
      </c>
      <c r="B65" s="611" t="s">
        <v>146</v>
      </c>
      <c r="C65" s="30" t="s">
        <v>147</v>
      </c>
      <c r="D65" s="134">
        <f t="shared" si="2"/>
        <v>0</v>
      </c>
      <c r="E65" s="134">
        <f t="shared" si="0"/>
        <v>0</v>
      </c>
      <c r="F65" s="113">
        <v>0</v>
      </c>
      <c r="G65" s="113">
        <v>0</v>
      </c>
      <c r="H65" s="113">
        <v>0</v>
      </c>
      <c r="I65" s="134">
        <f t="shared" si="9"/>
        <v>0</v>
      </c>
      <c r="J65" s="113">
        <v>0</v>
      </c>
      <c r="K65" s="113">
        <v>0</v>
      </c>
      <c r="L65" s="113">
        <v>0</v>
      </c>
      <c r="M65" s="113">
        <f t="shared" si="6"/>
        <v>0</v>
      </c>
      <c r="N65" s="113">
        <v>0</v>
      </c>
      <c r="O65" s="113">
        <v>0</v>
      </c>
      <c r="P65" s="134">
        <f t="shared" si="7"/>
        <v>0</v>
      </c>
      <c r="Q65" s="113">
        <v>0</v>
      </c>
      <c r="R65" s="113">
        <v>0</v>
      </c>
      <c r="S65" s="134">
        <f t="shared" si="8"/>
        <v>0</v>
      </c>
      <c r="T65" s="114">
        <v>0</v>
      </c>
      <c r="U65" s="114">
        <v>0</v>
      </c>
      <c r="V65" s="114">
        <v>0</v>
      </c>
      <c r="W65" s="114">
        <v>0</v>
      </c>
    </row>
    <row r="66" spans="1:23" x14ac:dyDescent="0.2">
      <c r="A66" s="115">
        <v>54</v>
      </c>
      <c r="B66" s="611" t="s">
        <v>148</v>
      </c>
      <c r="C66" s="30" t="s">
        <v>149</v>
      </c>
      <c r="D66" s="134">
        <f t="shared" si="2"/>
        <v>203954</v>
      </c>
      <c r="E66" s="134">
        <f t="shared" si="0"/>
        <v>39008</v>
      </c>
      <c r="F66" s="113">
        <v>0</v>
      </c>
      <c r="G66" s="113">
        <v>0</v>
      </c>
      <c r="H66" s="113">
        <v>39008</v>
      </c>
      <c r="I66" s="134">
        <f t="shared" si="9"/>
        <v>205</v>
      </c>
      <c r="J66" s="113">
        <v>0</v>
      </c>
      <c r="K66" s="113">
        <v>0</v>
      </c>
      <c r="L66" s="113">
        <v>0</v>
      </c>
      <c r="M66" s="113">
        <f t="shared" si="6"/>
        <v>205</v>
      </c>
      <c r="N66" s="113">
        <v>135</v>
      </c>
      <c r="O66" s="113">
        <v>70</v>
      </c>
      <c r="P66" s="134">
        <f t="shared" si="7"/>
        <v>0</v>
      </c>
      <c r="Q66" s="113">
        <v>0</v>
      </c>
      <c r="R66" s="113">
        <v>0</v>
      </c>
      <c r="S66" s="134">
        <f t="shared" si="8"/>
        <v>164741</v>
      </c>
      <c r="T66" s="114">
        <v>0</v>
      </c>
      <c r="U66" s="114">
        <v>91341</v>
      </c>
      <c r="V66" s="114">
        <v>0</v>
      </c>
      <c r="W66" s="114">
        <v>73400</v>
      </c>
    </row>
    <row r="67" spans="1:23" x14ac:dyDescent="0.2">
      <c r="A67" s="115">
        <v>55</v>
      </c>
      <c r="B67" s="71" t="s">
        <v>150</v>
      </c>
      <c r="C67" s="30" t="s">
        <v>151</v>
      </c>
      <c r="D67" s="134">
        <f t="shared" si="2"/>
        <v>155310</v>
      </c>
      <c r="E67" s="134">
        <f t="shared" si="0"/>
        <v>29930</v>
      </c>
      <c r="F67" s="113">
        <v>0</v>
      </c>
      <c r="G67" s="113">
        <v>0</v>
      </c>
      <c r="H67" s="113">
        <v>29930</v>
      </c>
      <c r="I67" s="134">
        <f t="shared" si="9"/>
        <v>332</v>
      </c>
      <c r="J67" s="113">
        <v>0</v>
      </c>
      <c r="K67" s="113">
        <v>0</v>
      </c>
      <c r="L67" s="113">
        <v>0</v>
      </c>
      <c r="M67" s="113">
        <f t="shared" si="6"/>
        <v>332</v>
      </c>
      <c r="N67" s="113">
        <v>194</v>
      </c>
      <c r="O67" s="113">
        <v>138</v>
      </c>
      <c r="P67" s="134">
        <f t="shared" si="7"/>
        <v>0</v>
      </c>
      <c r="Q67" s="113">
        <v>0</v>
      </c>
      <c r="R67" s="113">
        <v>0</v>
      </c>
      <c r="S67" s="134">
        <f t="shared" si="8"/>
        <v>125048</v>
      </c>
      <c r="T67" s="114">
        <v>0</v>
      </c>
      <c r="U67" s="114">
        <v>64988</v>
      </c>
      <c r="V67" s="114">
        <v>0</v>
      </c>
      <c r="W67" s="114">
        <v>60060</v>
      </c>
    </row>
    <row r="68" spans="1:23" x14ac:dyDescent="0.2">
      <c r="A68" s="115">
        <v>56</v>
      </c>
      <c r="B68" s="71" t="s">
        <v>154</v>
      </c>
      <c r="C68" s="30" t="s">
        <v>155</v>
      </c>
      <c r="D68" s="134">
        <f t="shared" si="2"/>
        <v>306625</v>
      </c>
      <c r="E68" s="134">
        <f t="shared" si="0"/>
        <v>57606</v>
      </c>
      <c r="F68" s="113">
        <v>0</v>
      </c>
      <c r="G68" s="113">
        <v>0</v>
      </c>
      <c r="H68" s="113">
        <v>57606</v>
      </c>
      <c r="I68" s="134">
        <f t="shared" si="9"/>
        <v>284</v>
      </c>
      <c r="J68" s="113">
        <v>0</v>
      </c>
      <c r="K68" s="113">
        <v>0</v>
      </c>
      <c r="L68" s="113">
        <v>0</v>
      </c>
      <c r="M68" s="113">
        <f t="shared" si="6"/>
        <v>284</v>
      </c>
      <c r="N68" s="113">
        <v>60</v>
      </c>
      <c r="O68" s="113">
        <v>224</v>
      </c>
      <c r="P68" s="134">
        <f t="shared" si="7"/>
        <v>0</v>
      </c>
      <c r="Q68" s="113">
        <v>0</v>
      </c>
      <c r="R68" s="113">
        <v>0</v>
      </c>
      <c r="S68" s="134">
        <f t="shared" si="8"/>
        <v>248735</v>
      </c>
      <c r="T68" s="114">
        <v>0</v>
      </c>
      <c r="U68" s="114">
        <v>133735</v>
      </c>
      <c r="V68" s="114">
        <v>0</v>
      </c>
      <c r="W68" s="114">
        <v>115000</v>
      </c>
    </row>
    <row r="69" spans="1:23" ht="24" x14ac:dyDescent="0.2">
      <c r="A69" s="115">
        <v>57</v>
      </c>
      <c r="B69" s="70" t="s">
        <v>158</v>
      </c>
      <c r="C69" s="30" t="s">
        <v>159</v>
      </c>
      <c r="D69" s="134">
        <f t="shared" si="2"/>
        <v>33833</v>
      </c>
      <c r="E69" s="134">
        <f t="shared" si="0"/>
        <v>0</v>
      </c>
      <c r="F69" s="113">
        <v>0</v>
      </c>
      <c r="G69" s="113">
        <v>0</v>
      </c>
      <c r="H69" s="113">
        <v>0</v>
      </c>
      <c r="I69" s="134">
        <f t="shared" si="9"/>
        <v>0</v>
      </c>
      <c r="J69" s="113">
        <v>0</v>
      </c>
      <c r="K69" s="113">
        <v>0</v>
      </c>
      <c r="L69" s="113">
        <v>0</v>
      </c>
      <c r="M69" s="113">
        <f t="shared" si="6"/>
        <v>0</v>
      </c>
      <c r="N69" s="113">
        <v>0</v>
      </c>
      <c r="O69" s="113">
        <v>0</v>
      </c>
      <c r="P69" s="134">
        <f t="shared" si="7"/>
        <v>0</v>
      </c>
      <c r="Q69" s="113">
        <v>0</v>
      </c>
      <c r="R69" s="113">
        <v>0</v>
      </c>
      <c r="S69" s="134">
        <f t="shared" si="8"/>
        <v>33833</v>
      </c>
      <c r="T69" s="114">
        <v>0</v>
      </c>
      <c r="U69" s="114">
        <v>30354</v>
      </c>
      <c r="V69" s="114">
        <v>3479</v>
      </c>
      <c r="W69" s="114">
        <v>0</v>
      </c>
    </row>
    <row r="70" spans="1:23" ht="24" x14ac:dyDescent="0.2">
      <c r="A70" s="115">
        <v>58</v>
      </c>
      <c r="B70" s="70" t="s">
        <v>160</v>
      </c>
      <c r="C70" s="30" t="s">
        <v>161</v>
      </c>
      <c r="D70" s="134">
        <f t="shared" si="2"/>
        <v>31475</v>
      </c>
      <c r="E70" s="134">
        <f t="shared" si="0"/>
        <v>0</v>
      </c>
      <c r="F70" s="113">
        <v>0</v>
      </c>
      <c r="G70" s="113">
        <v>0</v>
      </c>
      <c r="H70" s="113">
        <v>0</v>
      </c>
      <c r="I70" s="134">
        <f t="shared" si="9"/>
        <v>0</v>
      </c>
      <c r="J70" s="113">
        <v>0</v>
      </c>
      <c r="K70" s="113">
        <v>0</v>
      </c>
      <c r="L70" s="113">
        <v>0</v>
      </c>
      <c r="M70" s="113">
        <f t="shared" si="6"/>
        <v>0</v>
      </c>
      <c r="N70" s="113">
        <v>0</v>
      </c>
      <c r="O70" s="113">
        <v>0</v>
      </c>
      <c r="P70" s="134">
        <f t="shared" si="7"/>
        <v>0</v>
      </c>
      <c r="Q70" s="113">
        <v>0</v>
      </c>
      <c r="R70" s="113">
        <v>0</v>
      </c>
      <c r="S70" s="134">
        <f t="shared" si="8"/>
        <v>31475</v>
      </c>
      <c r="T70" s="114">
        <v>0</v>
      </c>
      <c r="U70" s="114">
        <v>23397</v>
      </c>
      <c r="V70" s="114">
        <v>8078</v>
      </c>
      <c r="W70" s="114">
        <v>0</v>
      </c>
    </row>
    <row r="71" spans="1:23" x14ac:dyDescent="0.2">
      <c r="A71" s="115">
        <v>59</v>
      </c>
      <c r="B71" s="71" t="s">
        <v>162</v>
      </c>
      <c r="C71" s="30" t="s">
        <v>163</v>
      </c>
      <c r="D71" s="134">
        <f t="shared" si="2"/>
        <v>200604</v>
      </c>
      <c r="E71" s="134">
        <f t="shared" si="0"/>
        <v>4907</v>
      </c>
      <c r="F71" s="113">
        <v>4907</v>
      </c>
      <c r="G71" s="113">
        <v>247</v>
      </c>
      <c r="H71" s="113">
        <v>0</v>
      </c>
      <c r="I71" s="134">
        <f t="shared" si="9"/>
        <v>46302</v>
      </c>
      <c r="J71" s="113">
        <v>46302</v>
      </c>
      <c r="K71" s="113">
        <v>1146</v>
      </c>
      <c r="L71" s="113">
        <v>5370</v>
      </c>
      <c r="M71" s="113">
        <f t="shared" si="6"/>
        <v>0</v>
      </c>
      <c r="N71" s="113">
        <v>0</v>
      </c>
      <c r="O71" s="113">
        <v>0</v>
      </c>
      <c r="P71" s="134">
        <f t="shared" si="7"/>
        <v>16782</v>
      </c>
      <c r="Q71" s="113">
        <v>9255</v>
      </c>
      <c r="R71" s="113">
        <v>7527</v>
      </c>
      <c r="S71" s="134">
        <f t="shared" si="8"/>
        <v>132613</v>
      </c>
      <c r="T71" s="114">
        <v>38269</v>
      </c>
      <c r="U71" s="114">
        <v>77469</v>
      </c>
      <c r="V71" s="114">
        <v>991</v>
      </c>
      <c r="W71" s="114">
        <v>15884</v>
      </c>
    </row>
    <row r="72" spans="1:23" x14ac:dyDescent="0.2">
      <c r="A72" s="115">
        <v>60</v>
      </c>
      <c r="B72" s="71" t="s">
        <v>164</v>
      </c>
      <c r="C72" s="30" t="s">
        <v>165</v>
      </c>
      <c r="D72" s="134">
        <f t="shared" si="2"/>
        <v>93680</v>
      </c>
      <c r="E72" s="134">
        <f t="shared" si="0"/>
        <v>2842</v>
      </c>
      <c r="F72" s="113">
        <v>2842</v>
      </c>
      <c r="G72" s="113">
        <v>50</v>
      </c>
      <c r="H72" s="113">
        <v>0</v>
      </c>
      <c r="I72" s="134">
        <f t="shared" si="9"/>
        <v>26814</v>
      </c>
      <c r="J72" s="113">
        <v>26814</v>
      </c>
      <c r="K72" s="113">
        <v>140</v>
      </c>
      <c r="L72" s="113">
        <v>3110</v>
      </c>
      <c r="M72" s="113">
        <f t="shared" si="6"/>
        <v>0</v>
      </c>
      <c r="N72" s="113">
        <v>0</v>
      </c>
      <c r="O72" s="113">
        <v>0</v>
      </c>
      <c r="P72" s="134">
        <f t="shared" si="7"/>
        <v>9583</v>
      </c>
      <c r="Q72" s="113">
        <v>5304</v>
      </c>
      <c r="R72" s="113">
        <v>4279</v>
      </c>
      <c r="S72" s="134">
        <f t="shared" si="8"/>
        <v>54441</v>
      </c>
      <c r="T72" s="114">
        <v>27602</v>
      </c>
      <c r="U72" s="114">
        <v>18947</v>
      </c>
      <c r="V72" s="114">
        <v>0</v>
      </c>
      <c r="W72" s="114">
        <v>7892</v>
      </c>
    </row>
    <row r="73" spans="1:23" x14ac:dyDescent="0.2">
      <c r="A73" s="115">
        <v>61</v>
      </c>
      <c r="B73" s="71" t="s">
        <v>166</v>
      </c>
      <c r="C73" s="30" t="s">
        <v>167</v>
      </c>
      <c r="D73" s="134">
        <f t="shared" si="2"/>
        <v>260731</v>
      </c>
      <c r="E73" s="134">
        <f t="shared" ref="E73:E138" si="10">F73+H73</f>
        <v>5524</v>
      </c>
      <c r="F73" s="113">
        <v>5524</v>
      </c>
      <c r="G73" s="113">
        <v>1290</v>
      </c>
      <c r="H73" s="113">
        <v>0</v>
      </c>
      <c r="I73" s="134">
        <f t="shared" si="9"/>
        <v>62557</v>
      </c>
      <c r="J73" s="113">
        <v>62557</v>
      </c>
      <c r="K73" s="113">
        <v>2651</v>
      </c>
      <c r="L73" s="113">
        <v>7139</v>
      </c>
      <c r="M73" s="113">
        <f t="shared" si="6"/>
        <v>0</v>
      </c>
      <c r="N73" s="113">
        <v>0</v>
      </c>
      <c r="O73" s="113">
        <v>0</v>
      </c>
      <c r="P73" s="134">
        <f t="shared" si="7"/>
        <v>22252</v>
      </c>
      <c r="Q73" s="113">
        <v>12230</v>
      </c>
      <c r="R73" s="113">
        <v>10022</v>
      </c>
      <c r="S73" s="134">
        <f t="shared" si="8"/>
        <v>170398</v>
      </c>
      <c r="T73" s="114">
        <v>77380</v>
      </c>
      <c r="U73" s="114">
        <v>79160</v>
      </c>
      <c r="V73" s="114">
        <v>0</v>
      </c>
      <c r="W73" s="114">
        <v>13858</v>
      </c>
    </row>
    <row r="74" spans="1:23" ht="36" x14ac:dyDescent="0.2">
      <c r="A74" s="894">
        <v>62</v>
      </c>
      <c r="B74" s="48" t="s">
        <v>170</v>
      </c>
      <c r="C74" s="56" t="s">
        <v>770</v>
      </c>
      <c r="D74" s="134">
        <f t="shared" ref="D74:D137" si="11">E74+I74+P74+S74</f>
        <v>46954</v>
      </c>
      <c r="E74" s="134">
        <f t="shared" si="10"/>
        <v>0</v>
      </c>
      <c r="F74" s="615">
        <v>0</v>
      </c>
      <c r="G74" s="615">
        <v>0</v>
      </c>
      <c r="H74" s="615">
        <v>0</v>
      </c>
      <c r="I74" s="134">
        <f t="shared" si="9"/>
        <v>0</v>
      </c>
      <c r="J74" s="615">
        <v>0</v>
      </c>
      <c r="K74" s="615">
        <v>0</v>
      </c>
      <c r="L74" s="615">
        <v>0</v>
      </c>
      <c r="M74" s="615">
        <f t="shared" si="6"/>
        <v>0</v>
      </c>
      <c r="N74" s="615">
        <v>0</v>
      </c>
      <c r="O74" s="615">
        <v>0</v>
      </c>
      <c r="P74" s="134">
        <f t="shared" si="7"/>
        <v>0</v>
      </c>
      <c r="Q74" s="615">
        <v>0</v>
      </c>
      <c r="R74" s="615">
        <v>0</v>
      </c>
      <c r="S74" s="134">
        <f t="shared" ref="S74:S137" si="12">SUM(T74:X74)</f>
        <v>46954</v>
      </c>
      <c r="T74" s="616">
        <v>2703</v>
      </c>
      <c r="U74" s="616">
        <v>41185</v>
      </c>
      <c r="V74" s="616">
        <v>320</v>
      </c>
      <c r="W74" s="616">
        <v>2746</v>
      </c>
    </row>
    <row r="75" spans="1:23" ht="24" x14ac:dyDescent="0.2">
      <c r="A75" s="895"/>
      <c r="B75" s="51" t="s">
        <v>168</v>
      </c>
      <c r="C75" s="49" t="s">
        <v>169</v>
      </c>
      <c r="D75" s="134">
        <f t="shared" si="11"/>
        <v>4887</v>
      </c>
      <c r="E75" s="134">
        <f t="shared" si="10"/>
        <v>0</v>
      </c>
      <c r="F75" s="615"/>
      <c r="G75" s="615"/>
      <c r="H75" s="615"/>
      <c r="I75" s="134">
        <f t="shared" si="9"/>
        <v>0</v>
      </c>
      <c r="J75" s="615"/>
      <c r="K75" s="615"/>
      <c r="L75" s="615"/>
      <c r="M75" s="615"/>
      <c r="N75" s="615"/>
      <c r="O75" s="615"/>
      <c r="P75" s="134">
        <f t="shared" si="7"/>
        <v>0</v>
      </c>
      <c r="Q75" s="615"/>
      <c r="R75" s="615"/>
      <c r="S75" s="134">
        <f t="shared" si="12"/>
        <v>4887</v>
      </c>
      <c r="T75" s="616">
        <v>0</v>
      </c>
      <c r="U75" s="616">
        <v>4526</v>
      </c>
      <c r="V75" s="616">
        <v>0</v>
      </c>
      <c r="W75" s="616">
        <v>361</v>
      </c>
    </row>
    <row r="76" spans="1:23" ht="24" x14ac:dyDescent="0.2">
      <c r="A76" s="896"/>
      <c r="B76" s="51" t="s">
        <v>174</v>
      </c>
      <c r="C76" s="49" t="s">
        <v>175</v>
      </c>
      <c r="D76" s="134">
        <f t="shared" si="11"/>
        <v>6306</v>
      </c>
      <c r="E76" s="134">
        <f t="shared" si="10"/>
        <v>0</v>
      </c>
      <c r="F76" s="615">
        <v>0</v>
      </c>
      <c r="G76" s="615">
        <v>0</v>
      </c>
      <c r="H76" s="615">
        <v>0</v>
      </c>
      <c r="I76" s="134">
        <f t="shared" si="9"/>
        <v>0</v>
      </c>
      <c r="J76" s="615">
        <v>0</v>
      </c>
      <c r="K76" s="615">
        <v>0</v>
      </c>
      <c r="L76" s="615">
        <v>0</v>
      </c>
      <c r="M76" s="615">
        <f t="shared" ref="M76:M139" si="13">N76+O76</f>
        <v>0</v>
      </c>
      <c r="N76" s="615">
        <v>0</v>
      </c>
      <c r="O76" s="615">
        <v>0</v>
      </c>
      <c r="P76" s="134">
        <f t="shared" ref="P76:P139" si="14">Q76+R76</f>
        <v>0</v>
      </c>
      <c r="Q76" s="615">
        <v>0</v>
      </c>
      <c r="R76" s="615">
        <v>0</v>
      </c>
      <c r="S76" s="134">
        <f t="shared" si="12"/>
        <v>6306</v>
      </c>
      <c r="T76" s="616">
        <v>901</v>
      </c>
      <c r="U76" s="616">
        <v>4851</v>
      </c>
      <c r="V76" s="616">
        <v>0</v>
      </c>
      <c r="W76" s="616">
        <v>554</v>
      </c>
    </row>
    <row r="77" spans="1:23" ht="36" x14ac:dyDescent="0.2">
      <c r="A77" s="894">
        <v>63</v>
      </c>
      <c r="B77" s="617" t="s">
        <v>176</v>
      </c>
      <c r="C77" s="56" t="s">
        <v>773</v>
      </c>
      <c r="D77" s="134">
        <f t="shared" si="11"/>
        <v>73485</v>
      </c>
      <c r="E77" s="134">
        <f t="shared" si="10"/>
        <v>0</v>
      </c>
      <c r="F77" s="615">
        <v>0</v>
      </c>
      <c r="G77" s="615">
        <v>0</v>
      </c>
      <c r="H77" s="615">
        <v>0</v>
      </c>
      <c r="I77" s="134">
        <f t="shared" ref="I77:I141" si="15">J77+M77</f>
        <v>0</v>
      </c>
      <c r="J77" s="615">
        <v>0</v>
      </c>
      <c r="K77" s="615">
        <v>0</v>
      </c>
      <c r="L77" s="615">
        <v>0</v>
      </c>
      <c r="M77" s="615">
        <f t="shared" si="13"/>
        <v>0</v>
      </c>
      <c r="N77" s="615">
        <v>0</v>
      </c>
      <c r="O77" s="615">
        <v>0</v>
      </c>
      <c r="P77" s="134">
        <f t="shared" si="14"/>
        <v>0</v>
      </c>
      <c r="Q77" s="615">
        <v>0</v>
      </c>
      <c r="R77" s="615">
        <v>0</v>
      </c>
      <c r="S77" s="134">
        <f t="shared" si="12"/>
        <v>73485</v>
      </c>
      <c r="T77" s="616">
        <v>68</v>
      </c>
      <c r="U77" s="616">
        <v>62574</v>
      </c>
      <c r="V77" s="616">
        <v>5062</v>
      </c>
      <c r="W77" s="616">
        <v>5781</v>
      </c>
    </row>
    <row r="78" spans="1:23" ht="24" x14ac:dyDescent="0.2">
      <c r="A78" s="895"/>
      <c r="B78" s="51" t="s">
        <v>172</v>
      </c>
      <c r="C78" s="49" t="s">
        <v>173</v>
      </c>
      <c r="D78" s="134">
        <f t="shared" si="11"/>
        <v>5557</v>
      </c>
      <c r="E78" s="134">
        <f t="shared" si="10"/>
        <v>0</v>
      </c>
      <c r="F78" s="615">
        <v>0</v>
      </c>
      <c r="G78" s="615">
        <v>0</v>
      </c>
      <c r="H78" s="615">
        <v>0</v>
      </c>
      <c r="I78" s="134">
        <f t="shared" si="15"/>
        <v>0</v>
      </c>
      <c r="J78" s="615">
        <v>0</v>
      </c>
      <c r="K78" s="615">
        <v>0</v>
      </c>
      <c r="L78" s="615">
        <v>0</v>
      </c>
      <c r="M78" s="615">
        <f t="shared" si="13"/>
        <v>0</v>
      </c>
      <c r="N78" s="615">
        <v>0</v>
      </c>
      <c r="O78" s="615">
        <v>0</v>
      </c>
      <c r="P78" s="134">
        <f t="shared" si="14"/>
        <v>0</v>
      </c>
      <c r="Q78" s="615">
        <v>0</v>
      </c>
      <c r="R78" s="615">
        <v>0</v>
      </c>
      <c r="S78" s="134">
        <f t="shared" si="12"/>
        <v>5557</v>
      </c>
      <c r="T78" s="616">
        <v>23</v>
      </c>
      <c r="U78" s="616">
        <v>5391</v>
      </c>
      <c r="V78" s="616">
        <v>48</v>
      </c>
      <c r="W78" s="616">
        <v>95</v>
      </c>
    </row>
    <row r="79" spans="1:23" ht="24" x14ac:dyDescent="0.2">
      <c r="A79" s="895"/>
      <c r="B79" s="48" t="s">
        <v>178</v>
      </c>
      <c r="C79" s="49" t="s">
        <v>179</v>
      </c>
      <c r="D79" s="134">
        <f t="shared" si="11"/>
        <v>5421</v>
      </c>
      <c r="E79" s="134">
        <f t="shared" si="10"/>
        <v>0</v>
      </c>
      <c r="F79" s="615">
        <v>0</v>
      </c>
      <c r="G79" s="615">
        <v>0</v>
      </c>
      <c r="H79" s="615">
        <v>0</v>
      </c>
      <c r="I79" s="134">
        <f t="shared" si="15"/>
        <v>0</v>
      </c>
      <c r="J79" s="615">
        <v>0</v>
      </c>
      <c r="K79" s="615">
        <v>0</v>
      </c>
      <c r="L79" s="615">
        <v>0</v>
      </c>
      <c r="M79" s="615">
        <f t="shared" si="13"/>
        <v>0</v>
      </c>
      <c r="N79" s="615">
        <v>0</v>
      </c>
      <c r="O79" s="615">
        <v>0</v>
      </c>
      <c r="P79" s="134">
        <f t="shared" si="14"/>
        <v>0</v>
      </c>
      <c r="Q79" s="615">
        <v>0</v>
      </c>
      <c r="R79" s="615">
        <v>0</v>
      </c>
      <c r="S79" s="134">
        <f t="shared" si="12"/>
        <v>5421</v>
      </c>
      <c r="T79" s="616">
        <v>0</v>
      </c>
      <c r="U79" s="616">
        <v>4595</v>
      </c>
      <c r="V79" s="616">
        <v>612</v>
      </c>
      <c r="W79" s="616">
        <v>214</v>
      </c>
    </row>
    <row r="80" spans="1:23" ht="24" x14ac:dyDescent="0.2">
      <c r="A80" s="896"/>
      <c r="B80" s="48" t="s">
        <v>180</v>
      </c>
      <c r="C80" s="49" t="s">
        <v>181</v>
      </c>
      <c r="D80" s="134">
        <f t="shared" si="11"/>
        <v>4973</v>
      </c>
      <c r="E80" s="134">
        <f t="shared" si="10"/>
        <v>0</v>
      </c>
      <c r="F80" s="615">
        <v>0</v>
      </c>
      <c r="G80" s="615">
        <v>0</v>
      </c>
      <c r="H80" s="615">
        <v>0</v>
      </c>
      <c r="I80" s="134">
        <f t="shared" si="15"/>
        <v>0</v>
      </c>
      <c r="J80" s="615">
        <v>0</v>
      </c>
      <c r="K80" s="615">
        <v>0</v>
      </c>
      <c r="L80" s="615">
        <v>0</v>
      </c>
      <c r="M80" s="615">
        <f t="shared" si="13"/>
        <v>0</v>
      </c>
      <c r="N80" s="615">
        <v>0</v>
      </c>
      <c r="O80" s="615">
        <v>0</v>
      </c>
      <c r="P80" s="134">
        <f t="shared" si="14"/>
        <v>0</v>
      </c>
      <c r="Q80" s="615">
        <v>0</v>
      </c>
      <c r="R80" s="615">
        <v>0</v>
      </c>
      <c r="S80" s="134">
        <f t="shared" si="12"/>
        <v>4973</v>
      </c>
      <c r="T80" s="616">
        <v>0</v>
      </c>
      <c r="U80" s="616">
        <v>3591</v>
      </c>
      <c r="V80" s="616">
        <v>257</v>
      </c>
      <c r="W80" s="616">
        <v>1125</v>
      </c>
    </row>
    <row r="81" spans="1:23" x14ac:dyDescent="0.2">
      <c r="A81" s="160">
        <v>64</v>
      </c>
      <c r="B81" s="166" t="s">
        <v>182</v>
      </c>
      <c r="C81" s="49" t="s">
        <v>183</v>
      </c>
      <c r="D81" s="134">
        <f t="shared" si="11"/>
        <v>288957</v>
      </c>
      <c r="E81" s="134">
        <f t="shared" si="10"/>
        <v>29595</v>
      </c>
      <c r="F81" s="615">
        <v>3807</v>
      </c>
      <c r="G81" s="615">
        <v>712</v>
      </c>
      <c r="H81" s="615">
        <v>25788</v>
      </c>
      <c r="I81" s="134">
        <f t="shared" si="15"/>
        <v>36112</v>
      </c>
      <c r="J81" s="615">
        <v>35920</v>
      </c>
      <c r="K81" s="615">
        <v>1721</v>
      </c>
      <c r="L81" s="615">
        <v>4166</v>
      </c>
      <c r="M81" s="615">
        <f t="shared" si="13"/>
        <v>192</v>
      </c>
      <c r="N81" s="615">
        <v>105</v>
      </c>
      <c r="O81" s="615">
        <v>87</v>
      </c>
      <c r="P81" s="134">
        <f t="shared" si="14"/>
        <v>14080</v>
      </c>
      <c r="Q81" s="615">
        <v>7649</v>
      </c>
      <c r="R81" s="615">
        <v>6431</v>
      </c>
      <c r="S81" s="134">
        <f t="shared" si="12"/>
        <v>209170</v>
      </c>
      <c r="T81" s="616">
        <v>25758</v>
      </c>
      <c r="U81" s="616">
        <v>105131</v>
      </c>
      <c r="V81" s="616">
        <v>12593</v>
      </c>
      <c r="W81" s="616">
        <v>65688</v>
      </c>
    </row>
    <row r="82" spans="1:23" x14ac:dyDescent="0.2">
      <c r="A82" s="160">
        <v>65</v>
      </c>
      <c r="B82" s="48" t="s">
        <v>184</v>
      </c>
      <c r="C82" s="49" t="s">
        <v>185</v>
      </c>
      <c r="D82" s="134">
        <f t="shared" si="11"/>
        <v>377473</v>
      </c>
      <c r="E82" s="134">
        <f t="shared" si="10"/>
        <v>12205</v>
      </c>
      <c r="F82" s="615">
        <v>9180</v>
      </c>
      <c r="G82" s="615">
        <v>530</v>
      </c>
      <c r="H82" s="615">
        <v>3025</v>
      </c>
      <c r="I82" s="134">
        <f t="shared" si="15"/>
        <v>86619</v>
      </c>
      <c r="J82" s="615">
        <v>86619</v>
      </c>
      <c r="K82" s="615">
        <v>2000</v>
      </c>
      <c r="L82" s="615">
        <v>10046</v>
      </c>
      <c r="M82" s="615">
        <f t="shared" si="13"/>
        <v>0</v>
      </c>
      <c r="N82" s="615">
        <v>0</v>
      </c>
      <c r="O82" s="615">
        <v>0</v>
      </c>
      <c r="P82" s="134">
        <f t="shared" si="14"/>
        <v>34561</v>
      </c>
      <c r="Q82" s="615">
        <v>19396</v>
      </c>
      <c r="R82" s="615">
        <v>15165</v>
      </c>
      <c r="S82" s="134">
        <f t="shared" si="12"/>
        <v>244088</v>
      </c>
      <c r="T82" s="616">
        <v>86638</v>
      </c>
      <c r="U82" s="616">
        <v>120765</v>
      </c>
      <c r="V82" s="616">
        <v>5933</v>
      </c>
      <c r="W82" s="616">
        <v>30752</v>
      </c>
    </row>
    <row r="83" spans="1:23" x14ac:dyDescent="0.2">
      <c r="A83" s="160">
        <v>66</v>
      </c>
      <c r="B83" s="166" t="s">
        <v>186</v>
      </c>
      <c r="C83" s="49" t="s">
        <v>187</v>
      </c>
      <c r="D83" s="134">
        <f t="shared" si="11"/>
        <v>176396</v>
      </c>
      <c r="E83" s="134">
        <f t="shared" si="10"/>
        <v>4993</v>
      </c>
      <c r="F83" s="615">
        <v>4993</v>
      </c>
      <c r="G83" s="615">
        <v>312</v>
      </c>
      <c r="H83" s="615">
        <v>0</v>
      </c>
      <c r="I83" s="134">
        <f t="shared" si="15"/>
        <v>47112</v>
      </c>
      <c r="J83" s="615">
        <v>47112</v>
      </c>
      <c r="K83" s="615">
        <v>1020</v>
      </c>
      <c r="L83" s="615">
        <v>5464</v>
      </c>
      <c r="M83" s="615">
        <f t="shared" si="13"/>
        <v>0</v>
      </c>
      <c r="N83" s="615">
        <v>0</v>
      </c>
      <c r="O83" s="615">
        <v>0</v>
      </c>
      <c r="P83" s="134">
        <f t="shared" si="14"/>
        <v>16783</v>
      </c>
      <c r="Q83" s="615">
        <v>8785</v>
      </c>
      <c r="R83" s="615">
        <v>7998</v>
      </c>
      <c r="S83" s="134">
        <f t="shared" si="12"/>
        <v>107508</v>
      </c>
      <c r="T83" s="616">
        <v>70649</v>
      </c>
      <c r="U83" s="616">
        <v>18384</v>
      </c>
      <c r="V83" s="616">
        <v>5586</v>
      </c>
      <c r="W83" s="616">
        <v>12889</v>
      </c>
    </row>
    <row r="84" spans="1:23" ht="22.5" customHeight="1" x14ac:dyDescent="0.2">
      <c r="A84" s="894">
        <v>67</v>
      </c>
      <c r="B84" s="617" t="s">
        <v>188</v>
      </c>
      <c r="C84" s="56" t="s">
        <v>777</v>
      </c>
      <c r="D84" s="134">
        <f t="shared" si="11"/>
        <v>317441</v>
      </c>
      <c r="E84" s="134">
        <f t="shared" si="10"/>
        <v>36938</v>
      </c>
      <c r="F84" s="615">
        <v>3389</v>
      </c>
      <c r="G84" s="615">
        <v>745</v>
      </c>
      <c r="H84" s="615">
        <v>33549</v>
      </c>
      <c r="I84" s="134">
        <f t="shared" si="15"/>
        <v>32122</v>
      </c>
      <c r="J84" s="615">
        <v>31974</v>
      </c>
      <c r="K84" s="615">
        <v>2457</v>
      </c>
      <c r="L84" s="615">
        <v>3708</v>
      </c>
      <c r="M84" s="615">
        <f t="shared" si="13"/>
        <v>148</v>
      </c>
      <c r="N84" s="615">
        <v>8</v>
      </c>
      <c r="O84" s="615">
        <v>140</v>
      </c>
      <c r="P84" s="134">
        <f t="shared" si="14"/>
        <v>12143</v>
      </c>
      <c r="Q84" s="615">
        <v>6612</v>
      </c>
      <c r="R84" s="615">
        <v>5531</v>
      </c>
      <c r="S84" s="134">
        <f t="shared" si="12"/>
        <v>236238</v>
      </c>
      <c r="T84" s="616">
        <v>33879</v>
      </c>
      <c r="U84" s="616">
        <v>137939</v>
      </c>
      <c r="V84" s="616">
        <v>7147</v>
      </c>
      <c r="W84" s="616">
        <v>57273</v>
      </c>
    </row>
    <row r="85" spans="1:23" ht="23.25" customHeight="1" x14ac:dyDescent="0.2">
      <c r="A85" s="896"/>
      <c r="B85" s="166" t="s">
        <v>156</v>
      </c>
      <c r="C85" s="49" t="s">
        <v>157</v>
      </c>
      <c r="D85" s="134">
        <f t="shared" si="11"/>
        <v>60588</v>
      </c>
      <c r="E85" s="134">
        <f t="shared" si="10"/>
        <v>12347</v>
      </c>
      <c r="F85" s="615">
        <v>0</v>
      </c>
      <c r="G85" s="615">
        <v>0</v>
      </c>
      <c r="H85" s="615">
        <v>12347</v>
      </c>
      <c r="I85" s="134">
        <f t="shared" si="15"/>
        <v>133</v>
      </c>
      <c r="J85" s="615">
        <v>0</v>
      </c>
      <c r="K85" s="615">
        <v>0</v>
      </c>
      <c r="L85" s="615">
        <v>0</v>
      </c>
      <c r="M85" s="615">
        <f t="shared" si="13"/>
        <v>133</v>
      </c>
      <c r="N85" s="615">
        <v>7</v>
      </c>
      <c r="O85" s="615">
        <v>126</v>
      </c>
      <c r="P85" s="134">
        <f t="shared" si="14"/>
        <v>0</v>
      </c>
      <c r="Q85" s="615">
        <v>0</v>
      </c>
      <c r="R85" s="615">
        <v>0</v>
      </c>
      <c r="S85" s="134">
        <f t="shared" si="12"/>
        <v>48108</v>
      </c>
      <c r="T85" s="616">
        <v>0</v>
      </c>
      <c r="U85" s="616">
        <v>29950</v>
      </c>
      <c r="V85" s="616">
        <v>1733</v>
      </c>
      <c r="W85" s="616">
        <v>16425</v>
      </c>
    </row>
    <row r="86" spans="1:23" x14ac:dyDescent="0.2">
      <c r="A86" s="160">
        <v>68</v>
      </c>
      <c r="B86" s="48" t="s">
        <v>190</v>
      </c>
      <c r="C86" s="49" t="s">
        <v>191</v>
      </c>
      <c r="D86" s="134">
        <f t="shared" si="11"/>
        <v>370864</v>
      </c>
      <c r="E86" s="134">
        <f t="shared" si="10"/>
        <v>8456</v>
      </c>
      <c r="F86" s="615">
        <v>8456</v>
      </c>
      <c r="G86" s="615">
        <v>2649</v>
      </c>
      <c r="H86" s="615">
        <v>0</v>
      </c>
      <c r="I86" s="134">
        <f t="shared" si="15"/>
        <v>79792</v>
      </c>
      <c r="J86" s="615">
        <v>79792</v>
      </c>
      <c r="K86" s="615">
        <v>9705</v>
      </c>
      <c r="L86" s="615">
        <v>9254</v>
      </c>
      <c r="M86" s="615">
        <f t="shared" si="13"/>
        <v>0</v>
      </c>
      <c r="N86" s="615">
        <v>0</v>
      </c>
      <c r="O86" s="615">
        <v>0</v>
      </c>
      <c r="P86" s="134">
        <f t="shared" si="14"/>
        <v>28789</v>
      </c>
      <c r="Q86" s="615">
        <v>14907</v>
      </c>
      <c r="R86" s="615">
        <v>13882</v>
      </c>
      <c r="S86" s="134">
        <f t="shared" si="12"/>
        <v>253827</v>
      </c>
      <c r="T86" s="616">
        <v>43942</v>
      </c>
      <c r="U86" s="616">
        <v>149022</v>
      </c>
      <c r="V86" s="616">
        <v>19003</v>
      </c>
      <c r="W86" s="616">
        <v>41860</v>
      </c>
    </row>
    <row r="87" spans="1:23" ht="24" x14ac:dyDescent="0.2">
      <c r="A87" s="894">
        <v>69</v>
      </c>
      <c r="B87" s="617" t="s">
        <v>192</v>
      </c>
      <c r="C87" s="56" t="s">
        <v>772</v>
      </c>
      <c r="D87" s="134">
        <f t="shared" si="11"/>
        <v>386921</v>
      </c>
      <c r="E87" s="134">
        <f t="shared" si="10"/>
        <v>73290</v>
      </c>
      <c r="F87" s="615">
        <v>0</v>
      </c>
      <c r="G87" s="615">
        <v>0</v>
      </c>
      <c r="H87" s="615">
        <v>73290</v>
      </c>
      <c r="I87" s="134">
        <f t="shared" si="15"/>
        <v>476</v>
      </c>
      <c r="J87" s="615">
        <v>0</v>
      </c>
      <c r="K87" s="615">
        <v>0</v>
      </c>
      <c r="L87" s="615">
        <v>0</v>
      </c>
      <c r="M87" s="615">
        <f t="shared" si="13"/>
        <v>476</v>
      </c>
      <c r="N87" s="615">
        <v>138</v>
      </c>
      <c r="O87" s="615">
        <v>338</v>
      </c>
      <c r="P87" s="134">
        <f t="shared" si="14"/>
        <v>0</v>
      </c>
      <c r="Q87" s="615">
        <v>0</v>
      </c>
      <c r="R87" s="615">
        <v>0</v>
      </c>
      <c r="S87" s="134">
        <f t="shared" si="12"/>
        <v>313155</v>
      </c>
      <c r="T87" s="616">
        <v>0</v>
      </c>
      <c r="U87" s="616">
        <v>180176</v>
      </c>
      <c r="V87" s="616">
        <v>6181</v>
      </c>
      <c r="W87" s="616">
        <v>126798</v>
      </c>
    </row>
    <row r="88" spans="1:23" ht="22.5" customHeight="1" x14ac:dyDescent="0.2">
      <c r="A88" s="896"/>
      <c r="B88" s="48" t="s">
        <v>152</v>
      </c>
      <c r="C88" s="49" t="s">
        <v>153</v>
      </c>
      <c r="D88" s="134">
        <f t="shared" si="11"/>
        <v>72583</v>
      </c>
      <c r="E88" s="134">
        <f t="shared" si="10"/>
        <v>13659</v>
      </c>
      <c r="F88" s="615">
        <v>0</v>
      </c>
      <c r="G88" s="615">
        <v>0</v>
      </c>
      <c r="H88" s="615">
        <v>13659</v>
      </c>
      <c r="I88" s="134">
        <f t="shared" si="15"/>
        <v>141</v>
      </c>
      <c r="J88" s="615">
        <v>0</v>
      </c>
      <c r="K88" s="615">
        <v>0</v>
      </c>
      <c r="L88" s="615">
        <v>0</v>
      </c>
      <c r="M88" s="615">
        <f t="shared" si="13"/>
        <v>141</v>
      </c>
      <c r="N88" s="615">
        <v>62</v>
      </c>
      <c r="O88" s="615">
        <v>79</v>
      </c>
      <c r="P88" s="134">
        <f t="shared" si="14"/>
        <v>0</v>
      </c>
      <c r="Q88" s="615">
        <v>0</v>
      </c>
      <c r="R88" s="615">
        <v>0</v>
      </c>
      <c r="S88" s="134">
        <f t="shared" ref="S88" si="16">SUM(T88:X88)</f>
        <v>58783</v>
      </c>
      <c r="T88" s="616">
        <v>0</v>
      </c>
      <c r="U88" s="616">
        <v>35123</v>
      </c>
      <c r="V88" s="616">
        <v>2061</v>
      </c>
      <c r="W88" s="616">
        <v>21599</v>
      </c>
    </row>
    <row r="89" spans="1:23" x14ac:dyDescent="0.2">
      <c r="A89" s="160">
        <v>70</v>
      </c>
      <c r="B89" s="48" t="s">
        <v>194</v>
      </c>
      <c r="C89" s="49" t="s">
        <v>195</v>
      </c>
      <c r="D89" s="134">
        <f t="shared" si="11"/>
        <v>256046</v>
      </c>
      <c r="E89" s="134">
        <f t="shared" si="10"/>
        <v>6805</v>
      </c>
      <c r="F89" s="615">
        <v>6805</v>
      </c>
      <c r="G89" s="615">
        <v>1580</v>
      </c>
      <c r="H89" s="615">
        <v>0</v>
      </c>
      <c r="I89" s="134">
        <f t="shared" si="15"/>
        <v>64207</v>
      </c>
      <c r="J89" s="615">
        <v>64207</v>
      </c>
      <c r="K89" s="615">
        <v>529</v>
      </c>
      <c r="L89" s="615">
        <v>7446</v>
      </c>
      <c r="M89" s="615">
        <f t="shared" si="13"/>
        <v>0</v>
      </c>
      <c r="N89" s="615">
        <v>0</v>
      </c>
      <c r="O89" s="615">
        <v>0</v>
      </c>
      <c r="P89" s="134">
        <f t="shared" si="14"/>
        <v>24669</v>
      </c>
      <c r="Q89" s="615">
        <v>12642</v>
      </c>
      <c r="R89" s="615">
        <v>12027</v>
      </c>
      <c r="S89" s="134">
        <f t="shared" si="12"/>
        <v>160365</v>
      </c>
      <c r="T89" s="616">
        <v>80028</v>
      </c>
      <c r="U89" s="616">
        <v>52869</v>
      </c>
      <c r="V89" s="616">
        <v>1771</v>
      </c>
      <c r="W89" s="616">
        <v>25697</v>
      </c>
    </row>
    <row r="90" spans="1:23" x14ac:dyDescent="0.2">
      <c r="A90" s="160">
        <v>71</v>
      </c>
      <c r="B90" s="48" t="s">
        <v>196</v>
      </c>
      <c r="C90" s="49" t="s">
        <v>197</v>
      </c>
      <c r="D90" s="134">
        <f t="shared" si="11"/>
        <v>61669</v>
      </c>
      <c r="E90" s="134">
        <f t="shared" si="10"/>
        <v>0</v>
      </c>
      <c r="F90" s="615">
        <v>0</v>
      </c>
      <c r="G90" s="615">
        <v>0</v>
      </c>
      <c r="H90" s="615">
        <v>0</v>
      </c>
      <c r="I90" s="134">
        <f t="shared" si="15"/>
        <v>0</v>
      </c>
      <c r="J90" s="615">
        <v>0</v>
      </c>
      <c r="K90" s="615">
        <v>0</v>
      </c>
      <c r="L90" s="615">
        <v>0</v>
      </c>
      <c r="M90" s="615">
        <f t="shared" si="13"/>
        <v>0</v>
      </c>
      <c r="N90" s="615">
        <v>0</v>
      </c>
      <c r="O90" s="615">
        <v>0</v>
      </c>
      <c r="P90" s="134">
        <f t="shared" si="14"/>
        <v>0</v>
      </c>
      <c r="Q90" s="615">
        <v>0</v>
      </c>
      <c r="R90" s="615">
        <v>0</v>
      </c>
      <c r="S90" s="134">
        <f t="shared" si="12"/>
        <v>61669</v>
      </c>
      <c r="T90" s="616">
        <v>1600</v>
      </c>
      <c r="U90" s="616">
        <v>27321</v>
      </c>
      <c r="V90" s="616">
        <v>0</v>
      </c>
      <c r="W90" s="616">
        <v>32748</v>
      </c>
    </row>
    <row r="91" spans="1:23" x14ac:dyDescent="0.2">
      <c r="A91" s="160">
        <v>72</v>
      </c>
      <c r="B91" s="51" t="s">
        <v>30</v>
      </c>
      <c r="C91" s="49" t="s">
        <v>198</v>
      </c>
      <c r="D91" s="134">
        <f t="shared" si="11"/>
        <v>0</v>
      </c>
      <c r="E91" s="134">
        <f t="shared" si="10"/>
        <v>0</v>
      </c>
      <c r="F91" s="615">
        <v>0</v>
      </c>
      <c r="G91" s="615">
        <v>0</v>
      </c>
      <c r="H91" s="615">
        <v>0</v>
      </c>
      <c r="I91" s="134">
        <f t="shared" si="15"/>
        <v>0</v>
      </c>
      <c r="J91" s="615">
        <v>0</v>
      </c>
      <c r="K91" s="615">
        <v>0</v>
      </c>
      <c r="L91" s="615">
        <v>0</v>
      </c>
      <c r="M91" s="615">
        <f t="shared" si="13"/>
        <v>0</v>
      </c>
      <c r="N91" s="615">
        <v>0</v>
      </c>
      <c r="O91" s="615">
        <v>0</v>
      </c>
      <c r="P91" s="134">
        <f t="shared" si="14"/>
        <v>0</v>
      </c>
      <c r="Q91" s="615">
        <v>0</v>
      </c>
      <c r="R91" s="615">
        <v>0</v>
      </c>
      <c r="S91" s="134">
        <f t="shared" si="12"/>
        <v>0</v>
      </c>
      <c r="T91" s="616">
        <v>0</v>
      </c>
      <c r="U91" s="616">
        <v>0</v>
      </c>
      <c r="V91" s="616">
        <v>0</v>
      </c>
      <c r="W91" s="616">
        <v>0</v>
      </c>
    </row>
    <row r="92" spans="1:23" ht="24" x14ac:dyDescent="0.2">
      <c r="A92" s="933">
        <v>73</v>
      </c>
      <c r="B92" s="897" t="s">
        <v>199</v>
      </c>
      <c r="C92" s="49" t="s">
        <v>200</v>
      </c>
      <c r="D92" s="134">
        <f t="shared" si="11"/>
        <v>34997</v>
      </c>
      <c r="E92" s="134">
        <f t="shared" si="10"/>
        <v>1368</v>
      </c>
      <c r="F92" s="615">
        <v>1368</v>
      </c>
      <c r="G92" s="615">
        <v>1300</v>
      </c>
      <c r="H92" s="615">
        <v>0</v>
      </c>
      <c r="I92" s="134">
        <f t="shared" si="15"/>
        <v>2473</v>
      </c>
      <c r="J92" s="615">
        <v>2473</v>
      </c>
      <c r="K92" s="615">
        <v>2413</v>
      </c>
      <c r="L92" s="615">
        <v>403</v>
      </c>
      <c r="M92" s="615">
        <f t="shared" si="13"/>
        <v>0</v>
      </c>
      <c r="N92" s="615">
        <v>0</v>
      </c>
      <c r="O92" s="615">
        <v>0</v>
      </c>
      <c r="P92" s="134">
        <f t="shared" si="14"/>
        <v>2126</v>
      </c>
      <c r="Q92" s="615">
        <v>1624</v>
      </c>
      <c r="R92" s="615">
        <v>502</v>
      </c>
      <c r="S92" s="134">
        <f t="shared" si="12"/>
        <v>29030</v>
      </c>
      <c r="T92" s="616">
        <v>989</v>
      </c>
      <c r="U92" s="616">
        <v>27136</v>
      </c>
      <c r="V92" s="616">
        <v>0</v>
      </c>
      <c r="W92" s="616">
        <v>905</v>
      </c>
    </row>
    <row r="93" spans="1:23" ht="36" x14ac:dyDescent="0.2">
      <c r="A93" s="934"/>
      <c r="B93" s="898"/>
      <c r="C93" s="49" t="s">
        <v>201</v>
      </c>
      <c r="D93" s="134">
        <f t="shared" si="11"/>
        <v>19570</v>
      </c>
      <c r="E93" s="134">
        <f t="shared" si="10"/>
        <v>1368</v>
      </c>
      <c r="F93" s="615">
        <v>1368</v>
      </c>
      <c r="G93" s="615">
        <v>1300</v>
      </c>
      <c r="H93" s="615">
        <v>0</v>
      </c>
      <c r="I93" s="134">
        <f t="shared" si="15"/>
        <v>2473</v>
      </c>
      <c r="J93" s="615">
        <v>2473</v>
      </c>
      <c r="K93" s="615">
        <v>2413</v>
      </c>
      <c r="L93" s="615">
        <v>403</v>
      </c>
      <c r="M93" s="615">
        <f t="shared" si="13"/>
        <v>0</v>
      </c>
      <c r="N93" s="615">
        <v>0</v>
      </c>
      <c r="O93" s="615">
        <v>0</v>
      </c>
      <c r="P93" s="134">
        <f t="shared" si="14"/>
        <v>2126</v>
      </c>
      <c r="Q93" s="615">
        <v>1624</v>
      </c>
      <c r="R93" s="615">
        <v>502</v>
      </c>
      <c r="S93" s="134">
        <f t="shared" si="12"/>
        <v>13603</v>
      </c>
      <c r="T93" s="616">
        <v>989</v>
      </c>
      <c r="U93" s="616">
        <v>11709</v>
      </c>
      <c r="V93" s="616">
        <v>0</v>
      </c>
      <c r="W93" s="616">
        <v>905</v>
      </c>
    </row>
    <row r="94" spans="1:23" ht="24" x14ac:dyDescent="0.2">
      <c r="A94" s="934"/>
      <c r="B94" s="898"/>
      <c r="C94" s="49" t="s">
        <v>202</v>
      </c>
      <c r="D94" s="134">
        <f t="shared" si="11"/>
        <v>5490</v>
      </c>
      <c r="E94" s="134">
        <f t="shared" si="10"/>
        <v>0</v>
      </c>
      <c r="F94" s="615">
        <v>0</v>
      </c>
      <c r="G94" s="615">
        <v>0</v>
      </c>
      <c r="H94" s="615">
        <v>0</v>
      </c>
      <c r="I94" s="134">
        <f t="shared" si="15"/>
        <v>0</v>
      </c>
      <c r="J94" s="615">
        <v>0</v>
      </c>
      <c r="K94" s="615">
        <v>0</v>
      </c>
      <c r="L94" s="615">
        <v>0</v>
      </c>
      <c r="M94" s="615">
        <f t="shared" si="13"/>
        <v>0</v>
      </c>
      <c r="N94" s="615">
        <v>0</v>
      </c>
      <c r="O94" s="615">
        <v>0</v>
      </c>
      <c r="P94" s="134">
        <f t="shared" si="14"/>
        <v>0</v>
      </c>
      <c r="Q94" s="615">
        <v>0</v>
      </c>
      <c r="R94" s="615">
        <v>0</v>
      </c>
      <c r="S94" s="134">
        <f t="shared" si="12"/>
        <v>5490</v>
      </c>
      <c r="T94" s="616">
        <v>0</v>
      </c>
      <c r="U94" s="616">
        <v>5490</v>
      </c>
      <c r="V94" s="616">
        <v>0</v>
      </c>
      <c r="W94" s="616">
        <v>0</v>
      </c>
    </row>
    <row r="95" spans="1:23" ht="36" x14ac:dyDescent="0.2">
      <c r="A95" s="935"/>
      <c r="B95" s="899"/>
      <c r="C95" s="57" t="s">
        <v>203</v>
      </c>
      <c r="D95" s="134">
        <f t="shared" si="11"/>
        <v>9937</v>
      </c>
      <c r="E95" s="134">
        <f t="shared" si="10"/>
        <v>0</v>
      </c>
      <c r="F95" s="615">
        <v>0</v>
      </c>
      <c r="G95" s="615">
        <v>0</v>
      </c>
      <c r="H95" s="615">
        <v>0</v>
      </c>
      <c r="I95" s="134">
        <f t="shared" si="15"/>
        <v>0</v>
      </c>
      <c r="J95" s="615">
        <v>0</v>
      </c>
      <c r="K95" s="615">
        <v>0</v>
      </c>
      <c r="L95" s="615">
        <v>0</v>
      </c>
      <c r="M95" s="615">
        <f t="shared" si="13"/>
        <v>0</v>
      </c>
      <c r="N95" s="615">
        <v>0</v>
      </c>
      <c r="O95" s="615">
        <v>0</v>
      </c>
      <c r="P95" s="134">
        <f t="shared" si="14"/>
        <v>0</v>
      </c>
      <c r="Q95" s="615">
        <v>0</v>
      </c>
      <c r="R95" s="615">
        <v>0</v>
      </c>
      <c r="S95" s="134">
        <f t="shared" si="12"/>
        <v>9937</v>
      </c>
      <c r="T95" s="616">
        <v>0</v>
      </c>
      <c r="U95" s="616">
        <v>9937</v>
      </c>
      <c r="V95" s="616">
        <v>0</v>
      </c>
      <c r="W95" s="616">
        <v>0</v>
      </c>
    </row>
    <row r="96" spans="1:23" ht="24" x14ac:dyDescent="0.2">
      <c r="A96" s="160">
        <v>74</v>
      </c>
      <c r="B96" s="51" t="s">
        <v>204</v>
      </c>
      <c r="C96" s="49" t="s">
        <v>205</v>
      </c>
      <c r="D96" s="134">
        <f t="shared" si="11"/>
        <v>10547</v>
      </c>
      <c r="E96" s="134">
        <f t="shared" si="10"/>
        <v>0</v>
      </c>
      <c r="F96" s="615">
        <v>0</v>
      </c>
      <c r="G96" s="615">
        <v>0</v>
      </c>
      <c r="H96" s="615">
        <v>0</v>
      </c>
      <c r="I96" s="134">
        <f t="shared" si="15"/>
        <v>0</v>
      </c>
      <c r="J96" s="615">
        <v>0</v>
      </c>
      <c r="K96" s="615">
        <v>0</v>
      </c>
      <c r="L96" s="615">
        <v>0</v>
      </c>
      <c r="M96" s="615">
        <f t="shared" si="13"/>
        <v>0</v>
      </c>
      <c r="N96" s="615">
        <v>0</v>
      </c>
      <c r="O96" s="615">
        <v>0</v>
      </c>
      <c r="P96" s="134">
        <f t="shared" si="14"/>
        <v>0</v>
      </c>
      <c r="Q96" s="615">
        <v>0</v>
      </c>
      <c r="R96" s="615">
        <v>0</v>
      </c>
      <c r="S96" s="134">
        <f t="shared" si="12"/>
        <v>10547</v>
      </c>
      <c r="T96" s="616">
        <v>0</v>
      </c>
      <c r="U96" s="616">
        <v>10547</v>
      </c>
      <c r="V96" s="616">
        <v>0</v>
      </c>
      <c r="W96" s="616">
        <v>0</v>
      </c>
    </row>
    <row r="97" spans="1:23" x14ac:dyDescent="0.2">
      <c r="A97" s="160">
        <v>75</v>
      </c>
      <c r="B97" s="51" t="s">
        <v>206</v>
      </c>
      <c r="C97" s="49" t="s">
        <v>207</v>
      </c>
      <c r="D97" s="134">
        <f t="shared" si="11"/>
        <v>16471</v>
      </c>
      <c r="E97" s="134">
        <f t="shared" si="10"/>
        <v>292</v>
      </c>
      <c r="F97" s="615">
        <v>292</v>
      </c>
      <c r="G97" s="615">
        <v>100</v>
      </c>
      <c r="H97" s="615">
        <v>0</v>
      </c>
      <c r="I97" s="134">
        <f t="shared" si="15"/>
        <v>2754</v>
      </c>
      <c r="J97" s="615">
        <v>2754</v>
      </c>
      <c r="K97" s="615">
        <v>700</v>
      </c>
      <c r="L97" s="615">
        <v>319</v>
      </c>
      <c r="M97" s="615">
        <f t="shared" si="13"/>
        <v>0</v>
      </c>
      <c r="N97" s="615">
        <v>0</v>
      </c>
      <c r="O97" s="615">
        <v>0</v>
      </c>
      <c r="P97" s="134">
        <f t="shared" si="14"/>
        <v>740</v>
      </c>
      <c r="Q97" s="615">
        <v>440</v>
      </c>
      <c r="R97" s="615">
        <v>300</v>
      </c>
      <c r="S97" s="134">
        <f t="shared" si="12"/>
        <v>12685</v>
      </c>
      <c r="T97" s="616">
        <v>7310</v>
      </c>
      <c r="U97" s="616">
        <v>3388</v>
      </c>
      <c r="V97" s="616">
        <v>0</v>
      </c>
      <c r="W97" s="616">
        <v>1987</v>
      </c>
    </row>
    <row r="98" spans="1:23" x14ac:dyDescent="0.2">
      <c r="A98" s="160">
        <v>76</v>
      </c>
      <c r="B98" s="166" t="s">
        <v>208</v>
      </c>
      <c r="C98" s="49" t="s">
        <v>209</v>
      </c>
      <c r="D98" s="134">
        <f t="shared" si="11"/>
        <v>74863</v>
      </c>
      <c r="E98" s="134">
        <f t="shared" si="10"/>
        <v>1816</v>
      </c>
      <c r="F98" s="615">
        <v>1816</v>
      </c>
      <c r="G98" s="615">
        <v>584</v>
      </c>
      <c r="H98" s="615">
        <v>0</v>
      </c>
      <c r="I98" s="134">
        <f t="shared" si="15"/>
        <v>17138</v>
      </c>
      <c r="J98" s="615">
        <v>17138</v>
      </c>
      <c r="K98" s="615">
        <v>2068</v>
      </c>
      <c r="L98" s="615">
        <v>1988</v>
      </c>
      <c r="M98" s="615">
        <f t="shared" si="13"/>
        <v>0</v>
      </c>
      <c r="N98" s="615">
        <v>0</v>
      </c>
      <c r="O98" s="615">
        <v>0</v>
      </c>
      <c r="P98" s="134">
        <f t="shared" si="14"/>
        <v>5990</v>
      </c>
      <c r="Q98" s="615">
        <v>3018</v>
      </c>
      <c r="R98" s="615">
        <v>2972</v>
      </c>
      <c r="S98" s="134">
        <f t="shared" si="12"/>
        <v>49919</v>
      </c>
      <c r="T98" s="616">
        <v>4781</v>
      </c>
      <c r="U98" s="616">
        <v>36354</v>
      </c>
      <c r="V98" s="616">
        <v>5213</v>
      </c>
      <c r="W98" s="616">
        <v>3571</v>
      </c>
    </row>
    <row r="99" spans="1:23" x14ac:dyDescent="0.2">
      <c r="A99" s="160">
        <v>77</v>
      </c>
      <c r="B99" s="51" t="s">
        <v>210</v>
      </c>
      <c r="C99" s="49" t="s">
        <v>211</v>
      </c>
      <c r="D99" s="134">
        <f t="shared" si="11"/>
        <v>46673</v>
      </c>
      <c r="E99" s="134">
        <f t="shared" si="10"/>
        <v>3822</v>
      </c>
      <c r="F99" s="615">
        <v>708</v>
      </c>
      <c r="G99" s="615">
        <v>15</v>
      </c>
      <c r="H99" s="615">
        <v>3114</v>
      </c>
      <c r="I99" s="134">
        <f t="shared" si="15"/>
        <v>6725</v>
      </c>
      <c r="J99" s="615">
        <v>6685</v>
      </c>
      <c r="K99" s="615">
        <v>223</v>
      </c>
      <c r="L99" s="615">
        <v>775</v>
      </c>
      <c r="M99" s="615">
        <f t="shared" si="13"/>
        <v>40</v>
      </c>
      <c r="N99" s="615">
        <v>0</v>
      </c>
      <c r="O99" s="615">
        <v>40</v>
      </c>
      <c r="P99" s="134">
        <f t="shared" si="14"/>
        <v>1912</v>
      </c>
      <c r="Q99" s="615">
        <v>835</v>
      </c>
      <c r="R99" s="615">
        <v>1077</v>
      </c>
      <c r="S99" s="134">
        <f t="shared" si="12"/>
        <v>34214</v>
      </c>
      <c r="T99" s="616">
        <v>7522</v>
      </c>
      <c r="U99" s="616">
        <v>19225</v>
      </c>
      <c r="V99" s="616">
        <v>870</v>
      </c>
      <c r="W99" s="616">
        <v>6597</v>
      </c>
    </row>
    <row r="100" spans="1:23" x14ac:dyDescent="0.2">
      <c r="A100" s="160">
        <v>78</v>
      </c>
      <c r="B100" s="166" t="s">
        <v>212</v>
      </c>
      <c r="C100" s="49" t="s">
        <v>213</v>
      </c>
      <c r="D100" s="134">
        <f t="shared" si="11"/>
        <v>49371</v>
      </c>
      <c r="E100" s="134">
        <f t="shared" si="10"/>
        <v>4162</v>
      </c>
      <c r="F100" s="615">
        <v>742</v>
      </c>
      <c r="G100" s="615">
        <v>76</v>
      </c>
      <c r="H100" s="615">
        <v>3420</v>
      </c>
      <c r="I100" s="134">
        <f t="shared" si="15"/>
        <v>7020</v>
      </c>
      <c r="J100" s="615">
        <v>7001</v>
      </c>
      <c r="K100" s="615">
        <v>803</v>
      </c>
      <c r="L100" s="615">
        <v>812</v>
      </c>
      <c r="M100" s="615">
        <f t="shared" si="13"/>
        <v>19</v>
      </c>
      <c r="N100" s="615">
        <v>10</v>
      </c>
      <c r="O100" s="615">
        <v>9</v>
      </c>
      <c r="P100" s="134">
        <f t="shared" si="14"/>
        <v>2073</v>
      </c>
      <c r="Q100" s="615">
        <v>947</v>
      </c>
      <c r="R100" s="615">
        <v>1126</v>
      </c>
      <c r="S100" s="134">
        <f t="shared" si="12"/>
        <v>36116</v>
      </c>
      <c r="T100" s="616">
        <v>6992</v>
      </c>
      <c r="U100" s="616">
        <v>17862</v>
      </c>
      <c r="V100" s="616">
        <v>3174</v>
      </c>
      <c r="W100" s="616">
        <v>8088</v>
      </c>
    </row>
    <row r="101" spans="1:23" x14ac:dyDescent="0.2">
      <c r="A101" s="160">
        <v>79</v>
      </c>
      <c r="B101" s="166" t="s">
        <v>214</v>
      </c>
      <c r="C101" s="49" t="s">
        <v>215</v>
      </c>
      <c r="D101" s="134">
        <f t="shared" si="11"/>
        <v>143997</v>
      </c>
      <c r="E101" s="134">
        <f t="shared" si="10"/>
        <v>12537</v>
      </c>
      <c r="F101" s="615">
        <v>2079</v>
      </c>
      <c r="G101" s="615">
        <v>1200</v>
      </c>
      <c r="H101" s="615">
        <v>10458</v>
      </c>
      <c r="I101" s="134">
        <f t="shared" si="15"/>
        <v>19780</v>
      </c>
      <c r="J101" s="615">
        <v>19620</v>
      </c>
      <c r="K101" s="615">
        <v>2642</v>
      </c>
      <c r="L101" s="615">
        <v>2275</v>
      </c>
      <c r="M101" s="615">
        <f t="shared" si="13"/>
        <v>160</v>
      </c>
      <c r="N101" s="615">
        <v>0</v>
      </c>
      <c r="O101" s="615">
        <v>160</v>
      </c>
      <c r="P101" s="134">
        <f t="shared" si="14"/>
        <v>6821</v>
      </c>
      <c r="Q101" s="615">
        <v>3362</v>
      </c>
      <c r="R101" s="615">
        <v>3459</v>
      </c>
      <c r="S101" s="134">
        <f t="shared" si="12"/>
        <v>104859</v>
      </c>
      <c r="T101" s="616">
        <v>22053</v>
      </c>
      <c r="U101" s="616">
        <v>43210</v>
      </c>
      <c r="V101" s="616">
        <v>9980</v>
      </c>
      <c r="W101" s="616">
        <v>29616</v>
      </c>
    </row>
    <row r="102" spans="1:23" x14ac:dyDescent="0.2">
      <c r="A102" s="160">
        <v>80</v>
      </c>
      <c r="B102" s="51" t="s">
        <v>216</v>
      </c>
      <c r="C102" s="49" t="s">
        <v>217</v>
      </c>
      <c r="D102" s="134">
        <f t="shared" si="11"/>
        <v>58997</v>
      </c>
      <c r="E102" s="134">
        <f t="shared" si="10"/>
        <v>4739</v>
      </c>
      <c r="F102" s="615">
        <v>876</v>
      </c>
      <c r="G102" s="615">
        <v>147</v>
      </c>
      <c r="H102" s="615">
        <v>3863</v>
      </c>
      <c r="I102" s="134">
        <f t="shared" si="15"/>
        <v>8299</v>
      </c>
      <c r="J102" s="615">
        <v>8263</v>
      </c>
      <c r="K102" s="615">
        <v>720</v>
      </c>
      <c r="L102" s="615">
        <v>958</v>
      </c>
      <c r="M102" s="615">
        <f t="shared" si="13"/>
        <v>36</v>
      </c>
      <c r="N102" s="615">
        <v>0</v>
      </c>
      <c r="O102" s="615">
        <v>36</v>
      </c>
      <c r="P102" s="134">
        <f t="shared" si="14"/>
        <v>2313</v>
      </c>
      <c r="Q102" s="615">
        <v>1063</v>
      </c>
      <c r="R102" s="615">
        <v>1250</v>
      </c>
      <c r="S102" s="134">
        <f t="shared" si="12"/>
        <v>43646</v>
      </c>
      <c r="T102" s="616">
        <v>10541</v>
      </c>
      <c r="U102" s="616">
        <v>16566</v>
      </c>
      <c r="V102" s="616">
        <v>8183</v>
      </c>
      <c r="W102" s="616">
        <v>8356</v>
      </c>
    </row>
    <row r="103" spans="1:23" x14ac:dyDescent="0.2">
      <c r="A103" s="160">
        <v>81</v>
      </c>
      <c r="B103" s="48" t="s">
        <v>218</v>
      </c>
      <c r="C103" s="49" t="s">
        <v>219</v>
      </c>
      <c r="D103" s="134">
        <f t="shared" si="11"/>
        <v>188812</v>
      </c>
      <c r="E103" s="134">
        <f t="shared" si="10"/>
        <v>19119</v>
      </c>
      <c r="F103" s="615">
        <v>2546</v>
      </c>
      <c r="G103" s="615">
        <v>533</v>
      </c>
      <c r="H103" s="615">
        <v>16573</v>
      </c>
      <c r="I103" s="134">
        <f t="shared" si="15"/>
        <v>24224</v>
      </c>
      <c r="J103" s="615">
        <v>24024</v>
      </c>
      <c r="K103" s="615">
        <v>2024</v>
      </c>
      <c r="L103" s="615">
        <v>2786</v>
      </c>
      <c r="M103" s="615">
        <f t="shared" si="13"/>
        <v>200</v>
      </c>
      <c r="N103" s="615">
        <v>50</v>
      </c>
      <c r="O103" s="615">
        <v>150</v>
      </c>
      <c r="P103" s="134">
        <f t="shared" si="14"/>
        <v>8650</v>
      </c>
      <c r="Q103" s="615">
        <v>4232</v>
      </c>
      <c r="R103" s="615">
        <v>4418</v>
      </c>
      <c r="S103" s="134">
        <f t="shared" si="12"/>
        <v>136819</v>
      </c>
      <c r="T103" s="616">
        <v>23082</v>
      </c>
      <c r="U103" s="616">
        <v>46914</v>
      </c>
      <c r="V103" s="616">
        <v>26781</v>
      </c>
      <c r="W103" s="616">
        <v>40042</v>
      </c>
    </row>
    <row r="104" spans="1:23" x14ac:dyDescent="0.2">
      <c r="A104" s="160">
        <v>82</v>
      </c>
      <c r="B104" s="48" t="s">
        <v>220</v>
      </c>
      <c r="C104" s="49" t="s">
        <v>221</v>
      </c>
      <c r="D104" s="134">
        <f t="shared" si="11"/>
        <v>134023</v>
      </c>
      <c r="E104" s="134">
        <f t="shared" si="10"/>
        <v>11403</v>
      </c>
      <c r="F104" s="615">
        <v>1961</v>
      </c>
      <c r="G104" s="615">
        <v>62</v>
      </c>
      <c r="H104" s="615">
        <v>9442</v>
      </c>
      <c r="I104" s="134">
        <f t="shared" si="15"/>
        <v>18610</v>
      </c>
      <c r="J104" s="615">
        <v>18508</v>
      </c>
      <c r="K104" s="615">
        <v>463</v>
      </c>
      <c r="L104" s="615">
        <v>2146</v>
      </c>
      <c r="M104" s="615">
        <f t="shared" si="13"/>
        <v>102</v>
      </c>
      <c r="N104" s="615">
        <v>0</v>
      </c>
      <c r="O104" s="615">
        <v>102</v>
      </c>
      <c r="P104" s="134">
        <f t="shared" si="14"/>
        <v>5703</v>
      </c>
      <c r="Q104" s="615">
        <v>2706</v>
      </c>
      <c r="R104" s="615">
        <v>2997</v>
      </c>
      <c r="S104" s="134">
        <f t="shared" si="12"/>
        <v>98307</v>
      </c>
      <c r="T104" s="616">
        <v>23011</v>
      </c>
      <c r="U104" s="616">
        <v>46931</v>
      </c>
      <c r="V104" s="616">
        <v>5060</v>
      </c>
      <c r="W104" s="616">
        <v>23305</v>
      </c>
    </row>
    <row r="105" spans="1:23" x14ac:dyDescent="0.2">
      <c r="A105" s="160">
        <v>83</v>
      </c>
      <c r="B105" s="166" t="s">
        <v>222</v>
      </c>
      <c r="C105" s="49" t="s">
        <v>223</v>
      </c>
      <c r="D105" s="134">
        <f t="shared" si="11"/>
        <v>44961</v>
      </c>
      <c r="E105" s="134">
        <f t="shared" si="10"/>
        <v>3776</v>
      </c>
      <c r="F105" s="615">
        <v>672</v>
      </c>
      <c r="G105" s="615">
        <v>135</v>
      </c>
      <c r="H105" s="615">
        <v>3104</v>
      </c>
      <c r="I105" s="134">
        <f t="shared" si="15"/>
        <v>6411</v>
      </c>
      <c r="J105" s="615">
        <v>6339</v>
      </c>
      <c r="K105" s="615">
        <v>775</v>
      </c>
      <c r="L105" s="615">
        <v>735</v>
      </c>
      <c r="M105" s="615">
        <f t="shared" si="13"/>
        <v>72</v>
      </c>
      <c r="N105" s="615">
        <v>14</v>
      </c>
      <c r="O105" s="615">
        <v>58</v>
      </c>
      <c r="P105" s="134">
        <f t="shared" si="14"/>
        <v>1837</v>
      </c>
      <c r="Q105" s="615">
        <v>829</v>
      </c>
      <c r="R105" s="615">
        <v>1008</v>
      </c>
      <c r="S105" s="134">
        <f t="shared" si="12"/>
        <v>32937</v>
      </c>
      <c r="T105" s="616">
        <v>7914</v>
      </c>
      <c r="U105" s="616">
        <v>15980</v>
      </c>
      <c r="V105" s="616">
        <v>3488</v>
      </c>
      <c r="W105" s="616">
        <v>5555</v>
      </c>
    </row>
    <row r="106" spans="1:23" x14ac:dyDescent="0.2">
      <c r="A106" s="160">
        <v>84</v>
      </c>
      <c r="B106" s="48" t="s">
        <v>224</v>
      </c>
      <c r="C106" s="49" t="s">
        <v>225</v>
      </c>
      <c r="D106" s="134">
        <f t="shared" si="11"/>
        <v>70436</v>
      </c>
      <c r="E106" s="134">
        <f t="shared" si="10"/>
        <v>5994</v>
      </c>
      <c r="F106" s="615">
        <v>1053</v>
      </c>
      <c r="G106" s="615">
        <v>220</v>
      </c>
      <c r="H106" s="615">
        <v>4941</v>
      </c>
      <c r="I106" s="134">
        <f t="shared" si="15"/>
        <v>9987</v>
      </c>
      <c r="J106" s="615">
        <v>9939</v>
      </c>
      <c r="K106" s="615">
        <v>605</v>
      </c>
      <c r="L106" s="615">
        <v>1153</v>
      </c>
      <c r="M106" s="615">
        <f t="shared" si="13"/>
        <v>48</v>
      </c>
      <c r="N106" s="615">
        <v>0</v>
      </c>
      <c r="O106" s="615">
        <v>48</v>
      </c>
      <c r="P106" s="134">
        <f t="shared" si="14"/>
        <v>2734</v>
      </c>
      <c r="Q106" s="615">
        <v>1332</v>
      </c>
      <c r="R106" s="615">
        <v>1402</v>
      </c>
      <c r="S106" s="134">
        <f t="shared" si="12"/>
        <v>51721</v>
      </c>
      <c r="T106" s="616">
        <v>20460</v>
      </c>
      <c r="U106" s="616">
        <v>16383</v>
      </c>
      <c r="V106" s="616">
        <v>4285</v>
      </c>
      <c r="W106" s="616">
        <v>10593</v>
      </c>
    </row>
    <row r="107" spans="1:23" x14ac:dyDescent="0.2">
      <c r="A107" s="160">
        <v>85</v>
      </c>
      <c r="B107" s="48" t="s">
        <v>226</v>
      </c>
      <c r="C107" s="49" t="s">
        <v>227</v>
      </c>
      <c r="D107" s="134">
        <f t="shared" si="11"/>
        <v>67525</v>
      </c>
      <c r="E107" s="134">
        <f t="shared" si="10"/>
        <v>5856</v>
      </c>
      <c r="F107" s="615">
        <v>995</v>
      </c>
      <c r="G107" s="615">
        <v>138</v>
      </c>
      <c r="H107" s="615">
        <v>4861</v>
      </c>
      <c r="I107" s="134">
        <f t="shared" si="15"/>
        <v>9451</v>
      </c>
      <c r="J107" s="615">
        <v>9386</v>
      </c>
      <c r="K107" s="615">
        <v>250</v>
      </c>
      <c r="L107" s="615">
        <v>1089</v>
      </c>
      <c r="M107" s="615">
        <f t="shared" si="13"/>
        <v>65</v>
      </c>
      <c r="N107" s="615">
        <v>30</v>
      </c>
      <c r="O107" s="615">
        <v>35</v>
      </c>
      <c r="P107" s="134">
        <f t="shared" si="14"/>
        <v>2789</v>
      </c>
      <c r="Q107" s="615">
        <v>1300</v>
      </c>
      <c r="R107" s="615">
        <v>1489</v>
      </c>
      <c r="S107" s="134">
        <f t="shared" si="12"/>
        <v>49429</v>
      </c>
      <c r="T107" s="616">
        <v>10903</v>
      </c>
      <c r="U107" s="616">
        <v>19980</v>
      </c>
      <c r="V107" s="616">
        <v>9717</v>
      </c>
      <c r="W107" s="616">
        <v>8829</v>
      </c>
    </row>
    <row r="108" spans="1:23" x14ac:dyDescent="0.2">
      <c r="A108" s="160">
        <v>86</v>
      </c>
      <c r="B108" s="51" t="s">
        <v>32</v>
      </c>
      <c r="C108" s="49" t="s">
        <v>33</v>
      </c>
      <c r="D108" s="134">
        <f t="shared" si="11"/>
        <v>87290</v>
      </c>
      <c r="E108" s="134">
        <f t="shared" si="10"/>
        <v>7627</v>
      </c>
      <c r="F108" s="615">
        <v>1204</v>
      </c>
      <c r="G108" s="615">
        <v>590</v>
      </c>
      <c r="H108" s="615">
        <v>6423</v>
      </c>
      <c r="I108" s="134">
        <f t="shared" si="15"/>
        <v>11429</v>
      </c>
      <c r="J108" s="615">
        <v>11364</v>
      </c>
      <c r="K108" s="615">
        <v>1137</v>
      </c>
      <c r="L108" s="615">
        <v>1318</v>
      </c>
      <c r="M108" s="615">
        <f t="shared" si="13"/>
        <v>65</v>
      </c>
      <c r="N108" s="615">
        <v>2</v>
      </c>
      <c r="O108" s="615">
        <v>63</v>
      </c>
      <c r="P108" s="134">
        <f t="shared" si="14"/>
        <v>3637</v>
      </c>
      <c r="Q108" s="615">
        <v>1814</v>
      </c>
      <c r="R108" s="615">
        <v>1823</v>
      </c>
      <c r="S108" s="134">
        <f t="shared" si="12"/>
        <v>64597</v>
      </c>
      <c r="T108" s="616">
        <v>7595</v>
      </c>
      <c r="U108" s="616">
        <v>26998</v>
      </c>
      <c r="V108" s="616">
        <v>9087</v>
      </c>
      <c r="W108" s="616">
        <v>20917</v>
      </c>
    </row>
    <row r="109" spans="1:23" x14ac:dyDescent="0.2">
      <c r="A109" s="160">
        <v>87</v>
      </c>
      <c r="B109" s="166" t="s">
        <v>228</v>
      </c>
      <c r="C109" s="49" t="s">
        <v>229</v>
      </c>
      <c r="D109" s="134">
        <f t="shared" si="11"/>
        <v>52164</v>
      </c>
      <c r="E109" s="134">
        <f t="shared" si="10"/>
        <v>4433</v>
      </c>
      <c r="F109" s="615">
        <v>771</v>
      </c>
      <c r="G109" s="615">
        <v>538</v>
      </c>
      <c r="H109" s="615">
        <v>3662</v>
      </c>
      <c r="I109" s="134">
        <f t="shared" si="15"/>
        <v>7340</v>
      </c>
      <c r="J109" s="615">
        <v>7278</v>
      </c>
      <c r="K109" s="615">
        <v>1532</v>
      </c>
      <c r="L109" s="615">
        <v>844</v>
      </c>
      <c r="M109" s="615">
        <f t="shared" si="13"/>
        <v>62</v>
      </c>
      <c r="N109" s="615">
        <v>0</v>
      </c>
      <c r="O109" s="615">
        <v>62</v>
      </c>
      <c r="P109" s="134">
        <f t="shared" si="14"/>
        <v>2110</v>
      </c>
      <c r="Q109" s="615">
        <v>967</v>
      </c>
      <c r="R109" s="615">
        <v>1143</v>
      </c>
      <c r="S109" s="134">
        <f t="shared" si="12"/>
        <v>38281</v>
      </c>
      <c r="T109" s="616">
        <v>6725</v>
      </c>
      <c r="U109" s="616">
        <v>13355</v>
      </c>
      <c r="V109" s="616">
        <v>7119</v>
      </c>
      <c r="W109" s="616">
        <v>11082</v>
      </c>
    </row>
    <row r="110" spans="1:23" x14ac:dyDescent="0.2">
      <c r="A110" s="160">
        <v>88</v>
      </c>
      <c r="B110" s="48" t="s">
        <v>230</v>
      </c>
      <c r="C110" s="49" t="s">
        <v>231</v>
      </c>
      <c r="D110" s="134">
        <f t="shared" si="11"/>
        <v>134906</v>
      </c>
      <c r="E110" s="134">
        <f t="shared" si="10"/>
        <v>11052</v>
      </c>
      <c r="F110" s="615">
        <v>2040</v>
      </c>
      <c r="G110" s="615">
        <v>630</v>
      </c>
      <c r="H110" s="615">
        <v>9012</v>
      </c>
      <c r="I110" s="134">
        <f t="shared" si="15"/>
        <v>19313</v>
      </c>
      <c r="J110" s="615">
        <v>19247</v>
      </c>
      <c r="K110" s="615">
        <v>1895</v>
      </c>
      <c r="L110" s="615">
        <v>2232</v>
      </c>
      <c r="M110" s="615">
        <f t="shared" si="13"/>
        <v>66</v>
      </c>
      <c r="N110" s="615">
        <v>6</v>
      </c>
      <c r="O110" s="615">
        <v>60</v>
      </c>
      <c r="P110" s="134">
        <f t="shared" si="14"/>
        <v>5792</v>
      </c>
      <c r="Q110" s="615">
        <v>2771</v>
      </c>
      <c r="R110" s="615">
        <v>3021</v>
      </c>
      <c r="S110" s="134">
        <f t="shared" si="12"/>
        <v>98749</v>
      </c>
      <c r="T110" s="616">
        <v>23450</v>
      </c>
      <c r="U110" s="616">
        <v>38696</v>
      </c>
      <c r="V110" s="616">
        <v>11963</v>
      </c>
      <c r="W110" s="616">
        <v>24640</v>
      </c>
    </row>
    <row r="111" spans="1:23" x14ac:dyDescent="0.2">
      <c r="A111" s="160">
        <v>89</v>
      </c>
      <c r="B111" s="48" t="s">
        <v>232</v>
      </c>
      <c r="C111" s="49" t="s">
        <v>233</v>
      </c>
      <c r="D111" s="134">
        <f t="shared" si="11"/>
        <v>9320</v>
      </c>
      <c r="E111" s="134">
        <f t="shared" si="10"/>
        <v>0</v>
      </c>
      <c r="F111" s="615">
        <v>0</v>
      </c>
      <c r="G111" s="615">
        <v>0</v>
      </c>
      <c r="H111" s="615">
        <v>0</v>
      </c>
      <c r="I111" s="134">
        <f t="shared" si="15"/>
        <v>0</v>
      </c>
      <c r="J111" s="615">
        <v>0</v>
      </c>
      <c r="K111" s="615">
        <v>0</v>
      </c>
      <c r="L111" s="615">
        <v>0</v>
      </c>
      <c r="M111" s="615">
        <f t="shared" si="13"/>
        <v>0</v>
      </c>
      <c r="N111" s="615">
        <v>0</v>
      </c>
      <c r="O111" s="615">
        <v>0</v>
      </c>
      <c r="P111" s="134">
        <f t="shared" si="14"/>
        <v>0</v>
      </c>
      <c r="Q111" s="615">
        <v>0</v>
      </c>
      <c r="R111" s="615">
        <v>0</v>
      </c>
      <c r="S111" s="134">
        <f t="shared" si="12"/>
        <v>9320</v>
      </c>
      <c r="T111" s="616">
        <v>932</v>
      </c>
      <c r="U111" s="616">
        <v>8388</v>
      </c>
      <c r="V111" s="616">
        <v>0</v>
      </c>
      <c r="W111" s="616">
        <v>0</v>
      </c>
    </row>
    <row r="112" spans="1:23" x14ac:dyDescent="0.2">
      <c r="A112" s="160">
        <v>90</v>
      </c>
      <c r="B112" s="48" t="s">
        <v>234</v>
      </c>
      <c r="C112" s="49" t="s">
        <v>235</v>
      </c>
      <c r="D112" s="134">
        <f t="shared" si="11"/>
        <v>0</v>
      </c>
      <c r="E112" s="134">
        <f t="shared" si="10"/>
        <v>0</v>
      </c>
      <c r="F112" s="615">
        <v>0</v>
      </c>
      <c r="G112" s="615">
        <v>0</v>
      </c>
      <c r="H112" s="615">
        <v>0</v>
      </c>
      <c r="I112" s="134">
        <f t="shared" si="15"/>
        <v>0</v>
      </c>
      <c r="J112" s="615">
        <v>0</v>
      </c>
      <c r="K112" s="615">
        <v>0</v>
      </c>
      <c r="L112" s="615">
        <v>0</v>
      </c>
      <c r="M112" s="615">
        <f t="shared" si="13"/>
        <v>0</v>
      </c>
      <c r="N112" s="615">
        <v>0</v>
      </c>
      <c r="O112" s="615">
        <v>0</v>
      </c>
      <c r="P112" s="134">
        <f t="shared" si="14"/>
        <v>0</v>
      </c>
      <c r="Q112" s="615">
        <v>0</v>
      </c>
      <c r="R112" s="615">
        <v>0</v>
      </c>
      <c r="S112" s="134">
        <f t="shared" si="12"/>
        <v>0</v>
      </c>
      <c r="T112" s="616">
        <v>0</v>
      </c>
      <c r="U112" s="616">
        <v>0</v>
      </c>
      <c r="V112" s="616">
        <v>0</v>
      </c>
      <c r="W112" s="616">
        <v>0</v>
      </c>
    </row>
    <row r="113" spans="1:23" x14ac:dyDescent="0.2">
      <c r="A113" s="160">
        <v>91</v>
      </c>
      <c r="B113" s="166" t="s">
        <v>236</v>
      </c>
      <c r="C113" s="49" t="s">
        <v>237</v>
      </c>
      <c r="D113" s="134">
        <f t="shared" si="11"/>
        <v>0</v>
      </c>
      <c r="E113" s="134">
        <f t="shared" si="10"/>
        <v>0</v>
      </c>
      <c r="F113" s="615">
        <v>0</v>
      </c>
      <c r="G113" s="615">
        <v>0</v>
      </c>
      <c r="H113" s="615">
        <v>0</v>
      </c>
      <c r="I113" s="134">
        <f t="shared" si="15"/>
        <v>0</v>
      </c>
      <c r="J113" s="615">
        <v>0</v>
      </c>
      <c r="K113" s="615">
        <v>0</v>
      </c>
      <c r="L113" s="615">
        <v>0</v>
      </c>
      <c r="M113" s="615">
        <f t="shared" si="13"/>
        <v>0</v>
      </c>
      <c r="N113" s="615">
        <v>0</v>
      </c>
      <c r="O113" s="615">
        <v>0</v>
      </c>
      <c r="P113" s="134">
        <f t="shared" si="14"/>
        <v>0</v>
      </c>
      <c r="Q113" s="615">
        <v>0</v>
      </c>
      <c r="R113" s="615">
        <v>0</v>
      </c>
      <c r="S113" s="134">
        <f t="shared" si="12"/>
        <v>0</v>
      </c>
      <c r="T113" s="616">
        <v>0</v>
      </c>
      <c r="U113" s="616">
        <v>0</v>
      </c>
      <c r="V113" s="616">
        <v>0</v>
      </c>
      <c r="W113" s="616">
        <v>0</v>
      </c>
    </row>
    <row r="114" spans="1:23" x14ac:dyDescent="0.2">
      <c r="A114" s="160">
        <v>92</v>
      </c>
      <c r="B114" s="166" t="s">
        <v>238</v>
      </c>
      <c r="C114" s="49" t="s">
        <v>239</v>
      </c>
      <c r="D114" s="134">
        <f t="shared" si="11"/>
        <v>0</v>
      </c>
      <c r="E114" s="134">
        <f t="shared" si="10"/>
        <v>0</v>
      </c>
      <c r="F114" s="615">
        <v>0</v>
      </c>
      <c r="G114" s="615">
        <v>0</v>
      </c>
      <c r="H114" s="615">
        <v>0</v>
      </c>
      <c r="I114" s="134">
        <f t="shared" si="15"/>
        <v>0</v>
      </c>
      <c r="J114" s="615">
        <v>0</v>
      </c>
      <c r="K114" s="615">
        <v>0</v>
      </c>
      <c r="L114" s="615">
        <v>0</v>
      </c>
      <c r="M114" s="615">
        <f t="shared" si="13"/>
        <v>0</v>
      </c>
      <c r="N114" s="615">
        <v>0</v>
      </c>
      <c r="O114" s="615">
        <v>0</v>
      </c>
      <c r="P114" s="134">
        <f t="shared" si="14"/>
        <v>0</v>
      </c>
      <c r="Q114" s="615">
        <v>0</v>
      </c>
      <c r="R114" s="615">
        <v>0</v>
      </c>
      <c r="S114" s="134">
        <f t="shared" si="12"/>
        <v>0</v>
      </c>
      <c r="T114" s="616">
        <v>0</v>
      </c>
      <c r="U114" s="616">
        <v>0</v>
      </c>
      <c r="V114" s="616">
        <v>0</v>
      </c>
      <c r="W114" s="616">
        <v>0</v>
      </c>
    </row>
    <row r="115" spans="1:23" x14ac:dyDescent="0.2">
      <c r="A115" s="160">
        <v>93</v>
      </c>
      <c r="B115" s="166" t="s">
        <v>240</v>
      </c>
      <c r="C115" s="49" t="s">
        <v>241</v>
      </c>
      <c r="D115" s="134">
        <f t="shared" si="11"/>
        <v>0</v>
      </c>
      <c r="E115" s="134">
        <f t="shared" si="10"/>
        <v>0</v>
      </c>
      <c r="F115" s="615">
        <v>0</v>
      </c>
      <c r="G115" s="615">
        <v>0</v>
      </c>
      <c r="H115" s="615">
        <v>0</v>
      </c>
      <c r="I115" s="134">
        <f t="shared" si="15"/>
        <v>0</v>
      </c>
      <c r="J115" s="615">
        <v>0</v>
      </c>
      <c r="K115" s="615">
        <v>0</v>
      </c>
      <c r="L115" s="615">
        <v>0</v>
      </c>
      <c r="M115" s="615">
        <f t="shared" si="13"/>
        <v>0</v>
      </c>
      <c r="N115" s="615">
        <v>0</v>
      </c>
      <c r="O115" s="615">
        <v>0</v>
      </c>
      <c r="P115" s="134">
        <f t="shared" si="14"/>
        <v>0</v>
      </c>
      <c r="Q115" s="615">
        <v>0</v>
      </c>
      <c r="R115" s="615">
        <v>0</v>
      </c>
      <c r="S115" s="134">
        <f t="shared" si="12"/>
        <v>0</v>
      </c>
      <c r="T115" s="616">
        <v>0</v>
      </c>
      <c r="U115" s="616">
        <v>0</v>
      </c>
      <c r="V115" s="616">
        <v>0</v>
      </c>
      <c r="W115" s="616">
        <v>0</v>
      </c>
    </row>
    <row r="116" spans="1:23" x14ac:dyDescent="0.2">
      <c r="A116" s="160">
        <v>94</v>
      </c>
      <c r="B116" s="166" t="s">
        <v>242</v>
      </c>
      <c r="C116" s="49" t="s">
        <v>243</v>
      </c>
      <c r="D116" s="134">
        <f t="shared" si="11"/>
        <v>0</v>
      </c>
      <c r="E116" s="134">
        <f t="shared" si="10"/>
        <v>0</v>
      </c>
      <c r="F116" s="615">
        <v>0</v>
      </c>
      <c r="G116" s="615">
        <v>0</v>
      </c>
      <c r="H116" s="615">
        <v>0</v>
      </c>
      <c r="I116" s="134">
        <f t="shared" si="15"/>
        <v>0</v>
      </c>
      <c r="J116" s="615">
        <v>0</v>
      </c>
      <c r="K116" s="615">
        <v>0</v>
      </c>
      <c r="L116" s="615">
        <v>0</v>
      </c>
      <c r="M116" s="615">
        <f t="shared" si="13"/>
        <v>0</v>
      </c>
      <c r="N116" s="615">
        <v>0</v>
      </c>
      <c r="O116" s="615">
        <v>0</v>
      </c>
      <c r="P116" s="134">
        <f t="shared" si="14"/>
        <v>0</v>
      </c>
      <c r="Q116" s="615">
        <v>0</v>
      </c>
      <c r="R116" s="615">
        <v>0</v>
      </c>
      <c r="S116" s="134">
        <f t="shared" si="12"/>
        <v>0</v>
      </c>
      <c r="T116" s="616">
        <v>0</v>
      </c>
      <c r="U116" s="616">
        <v>0</v>
      </c>
      <c r="V116" s="616">
        <v>0</v>
      </c>
      <c r="W116" s="616">
        <v>0</v>
      </c>
    </row>
    <row r="117" spans="1:23" x14ac:dyDescent="0.2">
      <c r="A117" s="160">
        <v>95</v>
      </c>
      <c r="B117" s="166" t="s">
        <v>244</v>
      </c>
      <c r="C117" s="49" t="s">
        <v>245</v>
      </c>
      <c r="D117" s="134">
        <f t="shared" si="11"/>
        <v>39400</v>
      </c>
      <c r="E117" s="134">
        <f t="shared" si="10"/>
        <v>0</v>
      </c>
      <c r="F117" s="615">
        <v>0</v>
      </c>
      <c r="G117" s="615">
        <v>0</v>
      </c>
      <c r="H117" s="615">
        <v>0</v>
      </c>
      <c r="I117" s="134">
        <f t="shared" si="15"/>
        <v>0</v>
      </c>
      <c r="J117" s="615">
        <v>0</v>
      </c>
      <c r="K117" s="615">
        <v>0</v>
      </c>
      <c r="L117" s="615">
        <v>0</v>
      </c>
      <c r="M117" s="615">
        <f t="shared" si="13"/>
        <v>0</v>
      </c>
      <c r="N117" s="615">
        <v>0</v>
      </c>
      <c r="O117" s="615">
        <v>0</v>
      </c>
      <c r="P117" s="134">
        <f t="shared" si="14"/>
        <v>0</v>
      </c>
      <c r="Q117" s="615">
        <v>0</v>
      </c>
      <c r="R117" s="615">
        <v>0</v>
      </c>
      <c r="S117" s="134">
        <f t="shared" si="12"/>
        <v>39400</v>
      </c>
      <c r="T117" s="616">
        <v>3940</v>
      </c>
      <c r="U117" s="616">
        <v>35460</v>
      </c>
      <c r="V117" s="616">
        <v>0</v>
      </c>
      <c r="W117" s="616">
        <v>0</v>
      </c>
    </row>
    <row r="118" spans="1:23" x14ac:dyDescent="0.2">
      <c r="A118" s="160">
        <v>96</v>
      </c>
      <c r="B118" s="162" t="s">
        <v>246</v>
      </c>
      <c r="C118" s="618" t="s">
        <v>247</v>
      </c>
      <c r="D118" s="134">
        <f t="shared" si="11"/>
        <v>0</v>
      </c>
      <c r="E118" s="134">
        <f t="shared" si="10"/>
        <v>0</v>
      </c>
      <c r="F118" s="615">
        <v>0</v>
      </c>
      <c r="G118" s="615">
        <v>0</v>
      </c>
      <c r="H118" s="615">
        <v>0</v>
      </c>
      <c r="I118" s="134">
        <f t="shared" si="15"/>
        <v>0</v>
      </c>
      <c r="J118" s="615">
        <v>0</v>
      </c>
      <c r="K118" s="615">
        <v>0</v>
      </c>
      <c r="L118" s="615">
        <v>0</v>
      </c>
      <c r="M118" s="615">
        <f t="shared" si="13"/>
        <v>0</v>
      </c>
      <c r="N118" s="615">
        <v>0</v>
      </c>
      <c r="O118" s="615">
        <v>0</v>
      </c>
      <c r="P118" s="134">
        <f t="shared" si="14"/>
        <v>0</v>
      </c>
      <c r="Q118" s="615">
        <v>0</v>
      </c>
      <c r="R118" s="615">
        <v>0</v>
      </c>
      <c r="S118" s="134">
        <f t="shared" si="12"/>
        <v>0</v>
      </c>
      <c r="T118" s="616">
        <v>0</v>
      </c>
      <c r="U118" s="616">
        <v>0</v>
      </c>
      <c r="V118" s="616">
        <v>0</v>
      </c>
      <c r="W118" s="616">
        <v>0</v>
      </c>
    </row>
    <row r="119" spans="1:23" x14ac:dyDescent="0.2">
      <c r="A119" s="160">
        <v>97</v>
      </c>
      <c r="B119" s="51" t="s">
        <v>248</v>
      </c>
      <c r="C119" s="49" t="s">
        <v>249</v>
      </c>
      <c r="D119" s="134">
        <f t="shared" si="11"/>
        <v>0</v>
      </c>
      <c r="E119" s="134">
        <f t="shared" si="10"/>
        <v>0</v>
      </c>
      <c r="F119" s="615">
        <v>0</v>
      </c>
      <c r="G119" s="615">
        <v>0</v>
      </c>
      <c r="H119" s="615">
        <v>0</v>
      </c>
      <c r="I119" s="134">
        <f t="shared" si="15"/>
        <v>0</v>
      </c>
      <c r="J119" s="615">
        <v>0</v>
      </c>
      <c r="K119" s="615">
        <v>0</v>
      </c>
      <c r="L119" s="615">
        <v>0</v>
      </c>
      <c r="M119" s="615">
        <f t="shared" si="13"/>
        <v>0</v>
      </c>
      <c r="N119" s="615">
        <v>0</v>
      </c>
      <c r="O119" s="615">
        <v>0</v>
      </c>
      <c r="P119" s="134">
        <f t="shared" si="14"/>
        <v>0</v>
      </c>
      <c r="Q119" s="615">
        <v>0</v>
      </c>
      <c r="R119" s="615">
        <v>0</v>
      </c>
      <c r="S119" s="134">
        <f t="shared" si="12"/>
        <v>0</v>
      </c>
      <c r="T119" s="616">
        <v>0</v>
      </c>
      <c r="U119" s="616">
        <v>0</v>
      </c>
      <c r="V119" s="616">
        <v>0</v>
      </c>
      <c r="W119" s="616">
        <v>0</v>
      </c>
    </row>
    <row r="120" spans="1:23" x14ac:dyDescent="0.2">
      <c r="A120" s="160">
        <v>98</v>
      </c>
      <c r="B120" s="166" t="s">
        <v>250</v>
      </c>
      <c r="C120" s="49" t="s">
        <v>251</v>
      </c>
      <c r="D120" s="134">
        <f t="shared" si="11"/>
        <v>0</v>
      </c>
      <c r="E120" s="134">
        <f t="shared" si="10"/>
        <v>0</v>
      </c>
      <c r="F120" s="615">
        <v>0</v>
      </c>
      <c r="G120" s="615">
        <v>0</v>
      </c>
      <c r="H120" s="615">
        <v>0</v>
      </c>
      <c r="I120" s="134">
        <f t="shared" si="15"/>
        <v>0</v>
      </c>
      <c r="J120" s="615">
        <v>0</v>
      </c>
      <c r="K120" s="615">
        <v>0</v>
      </c>
      <c r="L120" s="615">
        <v>0</v>
      </c>
      <c r="M120" s="615">
        <f t="shared" si="13"/>
        <v>0</v>
      </c>
      <c r="N120" s="615">
        <v>0</v>
      </c>
      <c r="O120" s="615">
        <v>0</v>
      </c>
      <c r="P120" s="134">
        <f t="shared" si="14"/>
        <v>0</v>
      </c>
      <c r="Q120" s="615">
        <v>0</v>
      </c>
      <c r="R120" s="615">
        <v>0</v>
      </c>
      <c r="S120" s="134">
        <f t="shared" si="12"/>
        <v>0</v>
      </c>
      <c r="T120" s="616">
        <v>0</v>
      </c>
      <c r="U120" s="616">
        <v>0</v>
      </c>
      <c r="V120" s="616">
        <v>0</v>
      </c>
      <c r="W120" s="616">
        <v>0</v>
      </c>
    </row>
    <row r="121" spans="1:23" x14ac:dyDescent="0.2">
      <c r="A121" s="160">
        <v>99</v>
      </c>
      <c r="B121" s="48" t="s">
        <v>252</v>
      </c>
      <c r="C121" s="59" t="s">
        <v>253</v>
      </c>
      <c r="D121" s="134">
        <f t="shared" si="11"/>
        <v>0</v>
      </c>
      <c r="E121" s="134">
        <f t="shared" si="10"/>
        <v>0</v>
      </c>
      <c r="F121" s="615">
        <v>0</v>
      </c>
      <c r="G121" s="615">
        <v>0</v>
      </c>
      <c r="H121" s="615">
        <v>0</v>
      </c>
      <c r="I121" s="134">
        <f t="shared" si="15"/>
        <v>0</v>
      </c>
      <c r="J121" s="615">
        <v>0</v>
      </c>
      <c r="K121" s="615">
        <v>0</v>
      </c>
      <c r="L121" s="615">
        <v>0</v>
      </c>
      <c r="M121" s="615">
        <f t="shared" si="13"/>
        <v>0</v>
      </c>
      <c r="N121" s="615">
        <v>0</v>
      </c>
      <c r="O121" s="615">
        <v>0</v>
      </c>
      <c r="P121" s="134">
        <f t="shared" si="14"/>
        <v>0</v>
      </c>
      <c r="Q121" s="615">
        <v>0</v>
      </c>
      <c r="R121" s="615">
        <v>0</v>
      </c>
      <c r="S121" s="134">
        <f t="shared" si="12"/>
        <v>0</v>
      </c>
      <c r="T121" s="616">
        <v>0</v>
      </c>
      <c r="U121" s="616">
        <v>0</v>
      </c>
      <c r="V121" s="616">
        <v>0</v>
      </c>
      <c r="W121" s="616">
        <v>0</v>
      </c>
    </row>
    <row r="122" spans="1:23" x14ac:dyDescent="0.2">
      <c r="A122" s="160">
        <v>100</v>
      </c>
      <c r="B122" s="166" t="s">
        <v>254</v>
      </c>
      <c r="C122" s="49" t="s">
        <v>255</v>
      </c>
      <c r="D122" s="134">
        <f t="shared" si="11"/>
        <v>0</v>
      </c>
      <c r="E122" s="134">
        <f t="shared" si="10"/>
        <v>0</v>
      </c>
      <c r="F122" s="615">
        <v>0</v>
      </c>
      <c r="G122" s="615">
        <v>0</v>
      </c>
      <c r="H122" s="615">
        <v>0</v>
      </c>
      <c r="I122" s="134">
        <f t="shared" si="15"/>
        <v>0</v>
      </c>
      <c r="J122" s="615">
        <v>0</v>
      </c>
      <c r="K122" s="615">
        <v>0</v>
      </c>
      <c r="L122" s="615">
        <v>0</v>
      </c>
      <c r="M122" s="615">
        <f t="shared" si="13"/>
        <v>0</v>
      </c>
      <c r="N122" s="615">
        <v>0</v>
      </c>
      <c r="O122" s="615">
        <v>0</v>
      </c>
      <c r="P122" s="134">
        <f t="shared" si="14"/>
        <v>0</v>
      </c>
      <c r="Q122" s="615">
        <v>0</v>
      </c>
      <c r="R122" s="615">
        <v>0</v>
      </c>
      <c r="S122" s="134">
        <f t="shared" si="12"/>
        <v>0</v>
      </c>
      <c r="T122" s="616">
        <v>0</v>
      </c>
      <c r="U122" s="616">
        <v>0</v>
      </c>
      <c r="V122" s="616">
        <v>0</v>
      </c>
      <c r="W122" s="616">
        <v>0</v>
      </c>
    </row>
    <row r="123" spans="1:23" x14ac:dyDescent="0.2">
      <c r="A123" s="160">
        <v>101</v>
      </c>
      <c r="B123" s="51" t="s">
        <v>256</v>
      </c>
      <c r="C123" s="49" t="s">
        <v>257</v>
      </c>
      <c r="D123" s="134">
        <f t="shared" si="11"/>
        <v>0</v>
      </c>
      <c r="E123" s="134">
        <f t="shared" si="10"/>
        <v>0</v>
      </c>
      <c r="F123" s="615">
        <v>0</v>
      </c>
      <c r="G123" s="615">
        <v>0</v>
      </c>
      <c r="H123" s="615">
        <v>0</v>
      </c>
      <c r="I123" s="134">
        <f t="shared" si="15"/>
        <v>0</v>
      </c>
      <c r="J123" s="615">
        <v>0</v>
      </c>
      <c r="K123" s="615">
        <v>0</v>
      </c>
      <c r="L123" s="615">
        <v>0</v>
      </c>
      <c r="M123" s="615">
        <f t="shared" si="13"/>
        <v>0</v>
      </c>
      <c r="N123" s="615">
        <v>0</v>
      </c>
      <c r="O123" s="615">
        <v>0</v>
      </c>
      <c r="P123" s="134">
        <f t="shared" si="14"/>
        <v>0</v>
      </c>
      <c r="Q123" s="615">
        <v>0</v>
      </c>
      <c r="R123" s="615">
        <v>0</v>
      </c>
      <c r="S123" s="134">
        <f t="shared" si="12"/>
        <v>0</v>
      </c>
      <c r="T123" s="616">
        <v>0</v>
      </c>
      <c r="U123" s="616">
        <v>0</v>
      </c>
      <c r="V123" s="616">
        <v>0</v>
      </c>
      <c r="W123" s="616">
        <v>0</v>
      </c>
    </row>
    <row r="124" spans="1:23" x14ac:dyDescent="0.2">
      <c r="A124" s="160">
        <v>102</v>
      </c>
      <c r="B124" s="51" t="s">
        <v>258</v>
      </c>
      <c r="C124" s="49" t="s">
        <v>259</v>
      </c>
      <c r="D124" s="134">
        <f t="shared" si="11"/>
        <v>0</v>
      </c>
      <c r="E124" s="134">
        <f t="shared" si="10"/>
        <v>0</v>
      </c>
      <c r="F124" s="615">
        <v>0</v>
      </c>
      <c r="G124" s="615">
        <v>0</v>
      </c>
      <c r="H124" s="615">
        <v>0</v>
      </c>
      <c r="I124" s="134">
        <f t="shared" si="15"/>
        <v>0</v>
      </c>
      <c r="J124" s="615">
        <v>0</v>
      </c>
      <c r="K124" s="615">
        <v>0</v>
      </c>
      <c r="L124" s="615">
        <v>0</v>
      </c>
      <c r="M124" s="615">
        <f t="shared" si="13"/>
        <v>0</v>
      </c>
      <c r="N124" s="615">
        <v>0</v>
      </c>
      <c r="O124" s="615">
        <v>0</v>
      </c>
      <c r="P124" s="134">
        <f t="shared" si="14"/>
        <v>0</v>
      </c>
      <c r="Q124" s="615">
        <v>0</v>
      </c>
      <c r="R124" s="615">
        <v>0</v>
      </c>
      <c r="S124" s="134">
        <f t="shared" si="12"/>
        <v>0</v>
      </c>
      <c r="T124" s="616">
        <v>0</v>
      </c>
      <c r="U124" s="616">
        <v>0</v>
      </c>
      <c r="V124" s="616">
        <v>0</v>
      </c>
      <c r="W124" s="616">
        <v>0</v>
      </c>
    </row>
    <row r="125" spans="1:23" x14ac:dyDescent="0.2">
      <c r="A125" s="160">
        <v>103</v>
      </c>
      <c r="B125" s="164" t="s">
        <v>542</v>
      </c>
      <c r="C125" s="163" t="s">
        <v>543</v>
      </c>
      <c r="D125" s="134">
        <f t="shared" si="11"/>
        <v>0</v>
      </c>
      <c r="E125" s="134">
        <f t="shared" si="10"/>
        <v>0</v>
      </c>
      <c r="F125" s="615">
        <v>0</v>
      </c>
      <c r="G125" s="615">
        <v>0</v>
      </c>
      <c r="H125" s="615">
        <v>0</v>
      </c>
      <c r="I125" s="134">
        <f t="shared" si="15"/>
        <v>0</v>
      </c>
      <c r="J125" s="615">
        <v>0</v>
      </c>
      <c r="K125" s="615">
        <v>0</v>
      </c>
      <c r="L125" s="615">
        <v>0</v>
      </c>
      <c r="M125" s="615">
        <f t="shared" si="13"/>
        <v>0</v>
      </c>
      <c r="N125" s="615">
        <v>0</v>
      </c>
      <c r="O125" s="615">
        <v>0</v>
      </c>
      <c r="P125" s="134">
        <f t="shared" si="14"/>
        <v>0</v>
      </c>
      <c r="Q125" s="615">
        <v>0</v>
      </c>
      <c r="R125" s="615">
        <v>0</v>
      </c>
      <c r="S125" s="134">
        <f t="shared" si="12"/>
        <v>0</v>
      </c>
      <c r="T125" s="616">
        <v>0</v>
      </c>
      <c r="U125" s="616">
        <v>0</v>
      </c>
      <c r="V125" s="616">
        <v>0</v>
      </c>
      <c r="W125" s="616">
        <v>0</v>
      </c>
    </row>
    <row r="126" spans="1:23" x14ac:dyDescent="0.2">
      <c r="A126" s="160">
        <v>104</v>
      </c>
      <c r="B126" s="51" t="s">
        <v>260</v>
      </c>
      <c r="C126" s="49" t="s">
        <v>261</v>
      </c>
      <c r="D126" s="134">
        <f t="shared" si="11"/>
        <v>0</v>
      </c>
      <c r="E126" s="134">
        <f t="shared" si="10"/>
        <v>0</v>
      </c>
      <c r="F126" s="615">
        <v>0</v>
      </c>
      <c r="G126" s="615">
        <v>0</v>
      </c>
      <c r="H126" s="615">
        <v>0</v>
      </c>
      <c r="I126" s="134">
        <f t="shared" si="15"/>
        <v>0</v>
      </c>
      <c r="J126" s="615">
        <v>0</v>
      </c>
      <c r="K126" s="615">
        <v>0</v>
      </c>
      <c r="L126" s="615">
        <v>0</v>
      </c>
      <c r="M126" s="615">
        <f t="shared" si="13"/>
        <v>0</v>
      </c>
      <c r="N126" s="615">
        <v>0</v>
      </c>
      <c r="O126" s="615">
        <v>0</v>
      </c>
      <c r="P126" s="134">
        <f t="shared" si="14"/>
        <v>0</v>
      </c>
      <c r="Q126" s="615">
        <v>0</v>
      </c>
      <c r="R126" s="615">
        <v>0</v>
      </c>
      <c r="S126" s="134">
        <f t="shared" si="12"/>
        <v>0</v>
      </c>
      <c r="T126" s="616">
        <v>0</v>
      </c>
      <c r="U126" s="616">
        <v>0</v>
      </c>
      <c r="V126" s="616">
        <v>0</v>
      </c>
      <c r="W126" s="616">
        <v>0</v>
      </c>
    </row>
    <row r="127" spans="1:23" x14ac:dyDescent="0.2">
      <c r="A127" s="160">
        <v>105</v>
      </c>
      <c r="B127" s="166" t="s">
        <v>262</v>
      </c>
      <c r="C127" s="49" t="s">
        <v>263</v>
      </c>
      <c r="D127" s="134">
        <f t="shared" si="11"/>
        <v>10800</v>
      </c>
      <c r="E127" s="134">
        <f t="shared" si="10"/>
        <v>0</v>
      </c>
      <c r="F127" s="615">
        <v>0</v>
      </c>
      <c r="G127" s="615">
        <v>0</v>
      </c>
      <c r="H127" s="615">
        <v>0</v>
      </c>
      <c r="I127" s="134">
        <f t="shared" si="15"/>
        <v>0</v>
      </c>
      <c r="J127" s="615">
        <v>0</v>
      </c>
      <c r="K127" s="615">
        <v>0</v>
      </c>
      <c r="L127" s="615">
        <v>0</v>
      </c>
      <c r="M127" s="615">
        <f t="shared" si="13"/>
        <v>0</v>
      </c>
      <c r="N127" s="615">
        <v>0</v>
      </c>
      <c r="O127" s="615">
        <v>0</v>
      </c>
      <c r="P127" s="134">
        <f t="shared" si="14"/>
        <v>0</v>
      </c>
      <c r="Q127" s="615">
        <v>0</v>
      </c>
      <c r="R127" s="615">
        <v>0</v>
      </c>
      <c r="S127" s="134">
        <f t="shared" si="12"/>
        <v>10800</v>
      </c>
      <c r="T127" s="616">
        <v>1080</v>
      </c>
      <c r="U127" s="616">
        <v>9720</v>
      </c>
      <c r="V127" s="616">
        <v>0</v>
      </c>
      <c r="W127" s="616">
        <v>0</v>
      </c>
    </row>
    <row r="128" spans="1:23" ht="24" x14ac:dyDescent="0.2">
      <c r="A128" s="160">
        <v>106</v>
      </c>
      <c r="B128" s="166" t="s">
        <v>264</v>
      </c>
      <c r="C128" s="53" t="s">
        <v>265</v>
      </c>
      <c r="D128" s="134">
        <f t="shared" si="11"/>
        <v>0</v>
      </c>
      <c r="E128" s="134">
        <f t="shared" si="10"/>
        <v>0</v>
      </c>
      <c r="F128" s="615">
        <v>0</v>
      </c>
      <c r="G128" s="615">
        <v>0</v>
      </c>
      <c r="H128" s="615">
        <v>0</v>
      </c>
      <c r="I128" s="134">
        <f t="shared" si="15"/>
        <v>0</v>
      </c>
      <c r="J128" s="615">
        <v>0</v>
      </c>
      <c r="K128" s="615">
        <v>0</v>
      </c>
      <c r="L128" s="615">
        <v>0</v>
      </c>
      <c r="M128" s="615">
        <f t="shared" si="13"/>
        <v>0</v>
      </c>
      <c r="N128" s="615">
        <v>0</v>
      </c>
      <c r="O128" s="615">
        <v>0</v>
      </c>
      <c r="P128" s="134">
        <f t="shared" si="14"/>
        <v>0</v>
      </c>
      <c r="Q128" s="615">
        <v>0</v>
      </c>
      <c r="R128" s="615">
        <v>0</v>
      </c>
      <c r="S128" s="134">
        <f t="shared" si="12"/>
        <v>0</v>
      </c>
      <c r="T128" s="616">
        <v>0</v>
      </c>
      <c r="U128" s="616">
        <v>0</v>
      </c>
      <c r="V128" s="616">
        <v>0</v>
      </c>
      <c r="W128" s="616">
        <v>0</v>
      </c>
    </row>
    <row r="129" spans="1:23" x14ac:dyDescent="0.2">
      <c r="A129" s="160">
        <v>107</v>
      </c>
      <c r="B129" s="166" t="s">
        <v>266</v>
      </c>
      <c r="C129" s="49" t="s">
        <v>267</v>
      </c>
      <c r="D129" s="134">
        <f t="shared" si="11"/>
        <v>236713</v>
      </c>
      <c r="E129" s="134">
        <f t="shared" si="10"/>
        <v>0</v>
      </c>
      <c r="F129" s="615">
        <v>0</v>
      </c>
      <c r="G129" s="615">
        <v>0</v>
      </c>
      <c r="H129" s="615">
        <v>0</v>
      </c>
      <c r="I129" s="134">
        <f t="shared" si="15"/>
        <v>0</v>
      </c>
      <c r="J129" s="615">
        <v>0</v>
      </c>
      <c r="K129" s="615">
        <v>0</v>
      </c>
      <c r="L129" s="615">
        <v>0</v>
      </c>
      <c r="M129" s="615">
        <f t="shared" si="13"/>
        <v>0</v>
      </c>
      <c r="N129" s="615">
        <v>0</v>
      </c>
      <c r="O129" s="615">
        <v>0</v>
      </c>
      <c r="P129" s="134">
        <f t="shared" si="14"/>
        <v>0</v>
      </c>
      <c r="Q129" s="615">
        <v>0</v>
      </c>
      <c r="R129" s="615">
        <v>0</v>
      </c>
      <c r="S129" s="134">
        <f t="shared" si="12"/>
        <v>236713</v>
      </c>
      <c r="T129" s="616">
        <v>0</v>
      </c>
      <c r="U129" s="616">
        <v>236713</v>
      </c>
      <c r="V129" s="616">
        <v>0</v>
      </c>
      <c r="W129" s="616">
        <v>0</v>
      </c>
    </row>
    <row r="130" spans="1:23" x14ac:dyDescent="0.2">
      <c r="A130" s="160">
        <v>108</v>
      </c>
      <c r="B130" s="166" t="s">
        <v>268</v>
      </c>
      <c r="C130" s="49" t="s">
        <v>269</v>
      </c>
      <c r="D130" s="134">
        <f t="shared" si="11"/>
        <v>151340</v>
      </c>
      <c r="E130" s="134">
        <f t="shared" si="10"/>
        <v>0</v>
      </c>
      <c r="F130" s="615">
        <v>0</v>
      </c>
      <c r="G130" s="615">
        <v>0</v>
      </c>
      <c r="H130" s="615">
        <v>0</v>
      </c>
      <c r="I130" s="134">
        <f t="shared" si="15"/>
        <v>0</v>
      </c>
      <c r="J130" s="615">
        <v>0</v>
      </c>
      <c r="K130" s="615">
        <v>0</v>
      </c>
      <c r="L130" s="615">
        <v>0</v>
      </c>
      <c r="M130" s="615">
        <f t="shared" si="13"/>
        <v>0</v>
      </c>
      <c r="N130" s="615">
        <v>0</v>
      </c>
      <c r="O130" s="615">
        <v>0</v>
      </c>
      <c r="P130" s="134">
        <f t="shared" si="14"/>
        <v>0</v>
      </c>
      <c r="Q130" s="615">
        <v>0</v>
      </c>
      <c r="R130" s="615">
        <v>0</v>
      </c>
      <c r="S130" s="134">
        <f t="shared" si="12"/>
        <v>151340</v>
      </c>
      <c r="T130" s="616">
        <v>0</v>
      </c>
      <c r="U130" s="616">
        <v>151340</v>
      </c>
      <c r="V130" s="616">
        <v>0</v>
      </c>
      <c r="W130" s="616">
        <v>0</v>
      </c>
    </row>
    <row r="131" spans="1:23" x14ac:dyDescent="0.2">
      <c r="A131" s="160">
        <v>109</v>
      </c>
      <c r="B131" s="166" t="s">
        <v>270</v>
      </c>
      <c r="C131" s="49" t="s">
        <v>271</v>
      </c>
      <c r="D131" s="134">
        <f t="shared" si="11"/>
        <v>116425</v>
      </c>
      <c r="E131" s="134">
        <f t="shared" si="10"/>
        <v>0</v>
      </c>
      <c r="F131" s="615">
        <v>0</v>
      </c>
      <c r="G131" s="615">
        <v>0</v>
      </c>
      <c r="H131" s="615">
        <v>0</v>
      </c>
      <c r="I131" s="134">
        <f t="shared" si="15"/>
        <v>0</v>
      </c>
      <c r="J131" s="615">
        <v>0</v>
      </c>
      <c r="K131" s="615">
        <v>0</v>
      </c>
      <c r="L131" s="615">
        <v>0</v>
      </c>
      <c r="M131" s="615">
        <f t="shared" si="13"/>
        <v>0</v>
      </c>
      <c r="N131" s="615">
        <v>0</v>
      </c>
      <c r="O131" s="615">
        <v>0</v>
      </c>
      <c r="P131" s="134">
        <f t="shared" si="14"/>
        <v>0</v>
      </c>
      <c r="Q131" s="615">
        <v>0</v>
      </c>
      <c r="R131" s="615">
        <v>0</v>
      </c>
      <c r="S131" s="134">
        <f t="shared" si="12"/>
        <v>116425</v>
      </c>
      <c r="T131" s="616">
        <v>0</v>
      </c>
      <c r="U131" s="616">
        <v>116425</v>
      </c>
      <c r="V131" s="616">
        <v>0</v>
      </c>
      <c r="W131" s="616">
        <v>0</v>
      </c>
    </row>
    <row r="132" spans="1:23" x14ac:dyDescent="0.2">
      <c r="A132" s="160">
        <v>110</v>
      </c>
      <c r="B132" s="48" t="s">
        <v>272</v>
      </c>
      <c r="C132" s="49" t="s">
        <v>273</v>
      </c>
      <c r="D132" s="134">
        <f t="shared" si="11"/>
        <v>124548</v>
      </c>
      <c r="E132" s="134">
        <f t="shared" si="10"/>
        <v>0</v>
      </c>
      <c r="F132" s="615">
        <v>0</v>
      </c>
      <c r="G132" s="615">
        <v>0</v>
      </c>
      <c r="H132" s="615">
        <v>0</v>
      </c>
      <c r="I132" s="134">
        <f t="shared" si="15"/>
        <v>0</v>
      </c>
      <c r="J132" s="615">
        <v>0</v>
      </c>
      <c r="K132" s="615">
        <v>0</v>
      </c>
      <c r="L132" s="615">
        <v>0</v>
      </c>
      <c r="M132" s="615">
        <f t="shared" si="13"/>
        <v>0</v>
      </c>
      <c r="N132" s="615">
        <v>0</v>
      </c>
      <c r="O132" s="615">
        <v>0</v>
      </c>
      <c r="P132" s="134">
        <f t="shared" si="14"/>
        <v>0</v>
      </c>
      <c r="Q132" s="615">
        <v>0</v>
      </c>
      <c r="R132" s="615">
        <v>0</v>
      </c>
      <c r="S132" s="134">
        <f t="shared" si="12"/>
        <v>124548</v>
      </c>
      <c r="T132" s="616">
        <v>0</v>
      </c>
      <c r="U132" s="616">
        <v>124548</v>
      </c>
      <c r="V132" s="616">
        <v>0</v>
      </c>
      <c r="W132" s="616">
        <v>0</v>
      </c>
    </row>
    <row r="133" spans="1:23" x14ac:dyDescent="0.2">
      <c r="A133" s="115">
        <v>111</v>
      </c>
      <c r="B133" s="70" t="s">
        <v>274</v>
      </c>
      <c r="C133" s="30" t="s">
        <v>275</v>
      </c>
      <c r="D133" s="134">
        <f t="shared" si="11"/>
        <v>109892</v>
      </c>
      <c r="E133" s="134">
        <f t="shared" si="10"/>
        <v>0</v>
      </c>
      <c r="F133" s="113">
        <v>0</v>
      </c>
      <c r="G133" s="113">
        <v>0</v>
      </c>
      <c r="H133" s="113">
        <v>0</v>
      </c>
      <c r="I133" s="134">
        <f t="shared" si="15"/>
        <v>0</v>
      </c>
      <c r="J133" s="113">
        <v>0</v>
      </c>
      <c r="K133" s="113">
        <v>0</v>
      </c>
      <c r="L133" s="113">
        <v>0</v>
      </c>
      <c r="M133" s="113">
        <f t="shared" si="13"/>
        <v>0</v>
      </c>
      <c r="N133" s="113">
        <v>0</v>
      </c>
      <c r="O133" s="113">
        <v>0</v>
      </c>
      <c r="P133" s="134">
        <f t="shared" si="14"/>
        <v>0</v>
      </c>
      <c r="Q133" s="113">
        <v>0</v>
      </c>
      <c r="R133" s="113">
        <v>0</v>
      </c>
      <c r="S133" s="134">
        <f t="shared" si="12"/>
        <v>109892</v>
      </c>
      <c r="T133" s="114">
        <v>600</v>
      </c>
      <c r="U133" s="114">
        <v>97492</v>
      </c>
      <c r="V133" s="114">
        <v>0</v>
      </c>
      <c r="W133" s="616">
        <v>11800</v>
      </c>
    </row>
    <row r="134" spans="1:23" x14ac:dyDescent="0.2">
      <c r="A134" s="115">
        <v>112</v>
      </c>
      <c r="B134" s="70" t="s">
        <v>276</v>
      </c>
      <c r="C134" s="30" t="s">
        <v>277</v>
      </c>
      <c r="D134" s="134">
        <f t="shared" si="11"/>
        <v>78310</v>
      </c>
      <c r="E134" s="134">
        <f t="shared" si="10"/>
        <v>0</v>
      </c>
      <c r="F134" s="113">
        <v>0</v>
      </c>
      <c r="G134" s="113">
        <v>0</v>
      </c>
      <c r="H134" s="113">
        <v>0</v>
      </c>
      <c r="I134" s="134">
        <f t="shared" si="15"/>
        <v>0</v>
      </c>
      <c r="J134" s="113">
        <v>0</v>
      </c>
      <c r="K134" s="113">
        <v>0</v>
      </c>
      <c r="L134" s="113">
        <v>0</v>
      </c>
      <c r="M134" s="113">
        <f t="shared" si="13"/>
        <v>0</v>
      </c>
      <c r="N134" s="113">
        <v>0</v>
      </c>
      <c r="O134" s="113">
        <v>0</v>
      </c>
      <c r="P134" s="134">
        <f t="shared" si="14"/>
        <v>0</v>
      </c>
      <c r="Q134" s="113">
        <v>0</v>
      </c>
      <c r="R134" s="113">
        <v>0</v>
      </c>
      <c r="S134" s="134">
        <f t="shared" si="12"/>
        <v>78310</v>
      </c>
      <c r="T134" s="114">
        <v>0</v>
      </c>
      <c r="U134" s="114">
        <v>55180</v>
      </c>
      <c r="V134" s="114">
        <v>0</v>
      </c>
      <c r="W134" s="616">
        <v>23130</v>
      </c>
    </row>
    <row r="135" spans="1:23" x14ac:dyDescent="0.2">
      <c r="A135" s="115">
        <v>113</v>
      </c>
      <c r="B135" s="611" t="s">
        <v>278</v>
      </c>
      <c r="C135" s="30" t="s">
        <v>279</v>
      </c>
      <c r="D135" s="134">
        <f t="shared" si="11"/>
        <v>90176</v>
      </c>
      <c r="E135" s="134">
        <f t="shared" si="10"/>
        <v>0</v>
      </c>
      <c r="F135" s="113">
        <v>0</v>
      </c>
      <c r="G135" s="113">
        <v>0</v>
      </c>
      <c r="H135" s="113">
        <v>0</v>
      </c>
      <c r="I135" s="134">
        <f t="shared" si="15"/>
        <v>0</v>
      </c>
      <c r="J135" s="113">
        <v>0</v>
      </c>
      <c r="K135" s="113">
        <v>0</v>
      </c>
      <c r="L135" s="113">
        <v>0</v>
      </c>
      <c r="M135" s="113">
        <f t="shared" si="13"/>
        <v>0</v>
      </c>
      <c r="N135" s="113">
        <v>0</v>
      </c>
      <c r="O135" s="113">
        <v>0</v>
      </c>
      <c r="P135" s="134">
        <f t="shared" si="14"/>
        <v>0</v>
      </c>
      <c r="Q135" s="113">
        <v>0</v>
      </c>
      <c r="R135" s="113">
        <v>0</v>
      </c>
      <c r="S135" s="134">
        <f t="shared" si="12"/>
        <v>90176</v>
      </c>
      <c r="T135" s="114">
        <v>0</v>
      </c>
      <c r="U135" s="114">
        <v>90176</v>
      </c>
      <c r="V135" s="114">
        <v>0</v>
      </c>
      <c r="W135" s="616">
        <v>0</v>
      </c>
    </row>
    <row r="136" spans="1:23" x14ac:dyDescent="0.2">
      <c r="A136" s="115">
        <v>114</v>
      </c>
      <c r="B136" s="611" t="s">
        <v>280</v>
      </c>
      <c r="C136" s="30" t="s">
        <v>281</v>
      </c>
      <c r="D136" s="134">
        <f t="shared" si="11"/>
        <v>0</v>
      </c>
      <c r="E136" s="134">
        <f t="shared" si="10"/>
        <v>0</v>
      </c>
      <c r="F136" s="113">
        <v>0</v>
      </c>
      <c r="G136" s="113">
        <v>0</v>
      </c>
      <c r="H136" s="113">
        <v>0</v>
      </c>
      <c r="I136" s="134">
        <f t="shared" si="15"/>
        <v>0</v>
      </c>
      <c r="J136" s="113">
        <v>0</v>
      </c>
      <c r="K136" s="113">
        <v>0</v>
      </c>
      <c r="L136" s="113">
        <v>0</v>
      </c>
      <c r="M136" s="113">
        <f t="shared" si="13"/>
        <v>0</v>
      </c>
      <c r="N136" s="113">
        <v>0</v>
      </c>
      <c r="O136" s="113">
        <v>0</v>
      </c>
      <c r="P136" s="134">
        <f t="shared" si="14"/>
        <v>0</v>
      </c>
      <c r="Q136" s="113">
        <v>0</v>
      </c>
      <c r="R136" s="113">
        <v>0</v>
      </c>
      <c r="S136" s="134">
        <f t="shared" si="12"/>
        <v>0</v>
      </c>
      <c r="T136" s="114">
        <v>0</v>
      </c>
      <c r="U136" s="114">
        <v>0</v>
      </c>
      <c r="V136" s="114">
        <v>0</v>
      </c>
      <c r="W136" s="616">
        <v>0</v>
      </c>
    </row>
    <row r="137" spans="1:23" x14ac:dyDescent="0.2">
      <c r="A137" s="115">
        <v>115</v>
      </c>
      <c r="B137" s="611" t="s">
        <v>282</v>
      </c>
      <c r="C137" s="30" t="s">
        <v>768</v>
      </c>
      <c r="D137" s="134">
        <f t="shared" si="11"/>
        <v>60218</v>
      </c>
      <c r="E137" s="134">
        <f t="shared" si="10"/>
        <v>0</v>
      </c>
      <c r="F137" s="113">
        <v>0</v>
      </c>
      <c r="G137" s="113">
        <v>0</v>
      </c>
      <c r="H137" s="113">
        <v>0</v>
      </c>
      <c r="I137" s="134">
        <f t="shared" si="15"/>
        <v>0</v>
      </c>
      <c r="J137" s="113">
        <v>0</v>
      </c>
      <c r="K137" s="113">
        <v>0</v>
      </c>
      <c r="L137" s="113">
        <v>0</v>
      </c>
      <c r="M137" s="113">
        <f t="shared" si="13"/>
        <v>0</v>
      </c>
      <c r="N137" s="113">
        <v>0</v>
      </c>
      <c r="O137" s="113">
        <v>0</v>
      </c>
      <c r="P137" s="134">
        <f t="shared" si="14"/>
        <v>0</v>
      </c>
      <c r="Q137" s="113">
        <v>0</v>
      </c>
      <c r="R137" s="113">
        <v>0</v>
      </c>
      <c r="S137" s="134">
        <f t="shared" si="12"/>
        <v>60218</v>
      </c>
      <c r="T137" s="114">
        <v>0</v>
      </c>
      <c r="U137" s="114">
        <v>60218</v>
      </c>
      <c r="V137" s="114">
        <v>0</v>
      </c>
      <c r="W137" s="616">
        <v>0</v>
      </c>
    </row>
    <row r="138" spans="1:23" x14ac:dyDescent="0.2">
      <c r="A138" s="115">
        <v>116</v>
      </c>
      <c r="B138" s="70" t="s">
        <v>283</v>
      </c>
      <c r="C138" s="30" t="s">
        <v>284</v>
      </c>
      <c r="D138" s="134">
        <f t="shared" ref="D138:D149" si="17">E138+I138+P138+S138</f>
        <v>117978</v>
      </c>
      <c r="E138" s="134">
        <f t="shared" si="10"/>
        <v>3513</v>
      </c>
      <c r="F138" s="113">
        <v>3513</v>
      </c>
      <c r="G138" s="113">
        <v>400</v>
      </c>
      <c r="H138" s="113">
        <v>0</v>
      </c>
      <c r="I138" s="134">
        <f t="shared" si="15"/>
        <v>33147</v>
      </c>
      <c r="J138" s="113">
        <v>33147</v>
      </c>
      <c r="K138" s="113">
        <v>850</v>
      </c>
      <c r="L138" s="113">
        <v>3844</v>
      </c>
      <c r="M138" s="113">
        <f t="shared" si="13"/>
        <v>0</v>
      </c>
      <c r="N138" s="113">
        <v>0</v>
      </c>
      <c r="O138" s="113">
        <v>0</v>
      </c>
      <c r="P138" s="134">
        <f t="shared" si="14"/>
        <v>12294</v>
      </c>
      <c r="Q138" s="113">
        <v>6824</v>
      </c>
      <c r="R138" s="113">
        <v>5470</v>
      </c>
      <c r="S138" s="134">
        <f t="shared" ref="S138:S149" si="18">SUM(T138:X138)</f>
        <v>69024</v>
      </c>
      <c r="T138" s="114">
        <v>39102</v>
      </c>
      <c r="U138" s="114">
        <v>23033</v>
      </c>
      <c r="V138" s="114">
        <v>0</v>
      </c>
      <c r="W138" s="616">
        <v>6889</v>
      </c>
    </row>
    <row r="139" spans="1:23" ht="24" x14ac:dyDescent="0.2">
      <c r="A139" s="115">
        <v>117</v>
      </c>
      <c r="B139" s="71" t="s">
        <v>285</v>
      </c>
      <c r="C139" s="49" t="s">
        <v>726</v>
      </c>
      <c r="D139" s="134">
        <f t="shared" si="17"/>
        <v>258919</v>
      </c>
      <c r="E139" s="134">
        <f t="shared" ref="E139:E149" si="19">F139+H139</f>
        <v>20299</v>
      </c>
      <c r="F139" s="113">
        <v>4462</v>
      </c>
      <c r="G139" s="113">
        <v>160</v>
      </c>
      <c r="H139" s="113">
        <v>15837</v>
      </c>
      <c r="I139" s="134">
        <f t="shared" si="15"/>
        <v>42170</v>
      </c>
      <c r="J139" s="113">
        <v>42105</v>
      </c>
      <c r="K139" s="113">
        <v>920</v>
      </c>
      <c r="L139" s="113">
        <v>4882</v>
      </c>
      <c r="M139" s="113">
        <f t="shared" si="13"/>
        <v>65</v>
      </c>
      <c r="N139" s="113">
        <v>0</v>
      </c>
      <c r="O139" s="113">
        <v>65</v>
      </c>
      <c r="P139" s="134">
        <f t="shared" si="14"/>
        <v>15668</v>
      </c>
      <c r="Q139" s="113">
        <v>8711</v>
      </c>
      <c r="R139" s="113">
        <v>6957</v>
      </c>
      <c r="S139" s="134">
        <f t="shared" si="18"/>
        <v>180782</v>
      </c>
      <c r="T139" s="114">
        <v>24178</v>
      </c>
      <c r="U139" s="114">
        <v>103471</v>
      </c>
      <c r="V139" s="114">
        <v>6924</v>
      </c>
      <c r="W139" s="616">
        <v>46209</v>
      </c>
    </row>
    <row r="140" spans="1:23" x14ac:dyDescent="0.2">
      <c r="A140" s="115">
        <v>118</v>
      </c>
      <c r="B140" s="611" t="s">
        <v>286</v>
      </c>
      <c r="C140" s="30" t="s">
        <v>287</v>
      </c>
      <c r="D140" s="134">
        <f t="shared" si="17"/>
        <v>5638</v>
      </c>
      <c r="E140" s="134">
        <f t="shared" si="19"/>
        <v>0</v>
      </c>
      <c r="F140" s="113">
        <v>0</v>
      </c>
      <c r="G140" s="113">
        <v>0</v>
      </c>
      <c r="H140" s="113">
        <v>0</v>
      </c>
      <c r="I140" s="134">
        <f t="shared" si="15"/>
        <v>0</v>
      </c>
      <c r="J140" s="113">
        <v>0</v>
      </c>
      <c r="K140" s="113">
        <v>0</v>
      </c>
      <c r="L140" s="113">
        <v>0</v>
      </c>
      <c r="M140" s="113">
        <f t="shared" ref="M140:M149" si="20">N140+O140</f>
        <v>0</v>
      </c>
      <c r="N140" s="113">
        <v>0</v>
      </c>
      <c r="O140" s="113">
        <v>0</v>
      </c>
      <c r="P140" s="134">
        <f t="shared" ref="P140:P149" si="21">Q140+R140</f>
        <v>0</v>
      </c>
      <c r="Q140" s="113">
        <v>0</v>
      </c>
      <c r="R140" s="113">
        <v>0</v>
      </c>
      <c r="S140" s="134">
        <f t="shared" si="18"/>
        <v>5638</v>
      </c>
      <c r="T140" s="114">
        <v>0</v>
      </c>
      <c r="U140" s="114">
        <v>5638</v>
      </c>
      <c r="V140" s="114">
        <v>0</v>
      </c>
      <c r="W140" s="114">
        <v>0</v>
      </c>
    </row>
    <row r="141" spans="1:23" x14ac:dyDescent="0.2">
      <c r="A141" s="115">
        <v>119</v>
      </c>
      <c r="B141" s="70" t="s">
        <v>288</v>
      </c>
      <c r="C141" s="30" t="s">
        <v>289</v>
      </c>
      <c r="D141" s="134">
        <f t="shared" si="17"/>
        <v>26015</v>
      </c>
      <c r="E141" s="134">
        <f t="shared" si="19"/>
        <v>0</v>
      </c>
      <c r="F141" s="113">
        <v>0</v>
      </c>
      <c r="G141" s="113">
        <v>0</v>
      </c>
      <c r="H141" s="113">
        <v>0</v>
      </c>
      <c r="I141" s="134">
        <f t="shared" si="15"/>
        <v>0</v>
      </c>
      <c r="J141" s="113">
        <v>0</v>
      </c>
      <c r="K141" s="113">
        <v>0</v>
      </c>
      <c r="L141" s="113">
        <v>0</v>
      </c>
      <c r="M141" s="113">
        <f t="shared" si="20"/>
        <v>0</v>
      </c>
      <c r="N141" s="113">
        <v>0</v>
      </c>
      <c r="O141" s="113">
        <v>0</v>
      </c>
      <c r="P141" s="134">
        <f t="shared" si="21"/>
        <v>0</v>
      </c>
      <c r="Q141" s="113">
        <v>0</v>
      </c>
      <c r="R141" s="113">
        <v>0</v>
      </c>
      <c r="S141" s="134">
        <f t="shared" si="18"/>
        <v>26015</v>
      </c>
      <c r="T141" s="114">
        <v>0</v>
      </c>
      <c r="U141" s="114">
        <v>26015</v>
      </c>
      <c r="V141" s="114">
        <v>0</v>
      </c>
      <c r="W141" s="114">
        <v>0</v>
      </c>
    </row>
    <row r="142" spans="1:23" ht="12.75" x14ac:dyDescent="0.2">
      <c r="A142" s="115">
        <v>120</v>
      </c>
      <c r="B142" s="612" t="s">
        <v>290</v>
      </c>
      <c r="C142" s="121" t="s">
        <v>291</v>
      </c>
      <c r="D142" s="134">
        <f t="shared" si="17"/>
        <v>0</v>
      </c>
      <c r="E142" s="134">
        <f t="shared" si="19"/>
        <v>0</v>
      </c>
      <c r="F142" s="113">
        <v>0</v>
      </c>
      <c r="G142" s="113">
        <v>0</v>
      </c>
      <c r="H142" s="113">
        <v>0</v>
      </c>
      <c r="I142" s="134">
        <f t="shared" ref="I142:I149" si="22">J142+M142</f>
        <v>0</v>
      </c>
      <c r="J142" s="113">
        <v>0</v>
      </c>
      <c r="K142" s="113">
        <v>0</v>
      </c>
      <c r="L142" s="113">
        <v>0</v>
      </c>
      <c r="M142" s="113">
        <f t="shared" si="20"/>
        <v>0</v>
      </c>
      <c r="N142" s="113">
        <v>0</v>
      </c>
      <c r="O142" s="113">
        <v>0</v>
      </c>
      <c r="P142" s="134">
        <f t="shared" si="21"/>
        <v>0</v>
      </c>
      <c r="Q142" s="113">
        <v>0</v>
      </c>
      <c r="R142" s="113">
        <v>0</v>
      </c>
      <c r="S142" s="134">
        <f t="shared" si="18"/>
        <v>0</v>
      </c>
      <c r="T142" s="114">
        <v>0</v>
      </c>
      <c r="U142" s="114">
        <v>0</v>
      </c>
      <c r="V142" s="114">
        <v>0</v>
      </c>
      <c r="W142" s="114">
        <v>0</v>
      </c>
    </row>
    <row r="143" spans="1:23" ht="12.75" x14ac:dyDescent="0.2">
      <c r="A143" s="115">
        <v>121</v>
      </c>
      <c r="B143" s="122" t="s">
        <v>292</v>
      </c>
      <c r="C143" s="123" t="s">
        <v>293</v>
      </c>
      <c r="D143" s="134">
        <f t="shared" si="17"/>
        <v>0</v>
      </c>
      <c r="E143" s="134">
        <f t="shared" si="19"/>
        <v>0</v>
      </c>
      <c r="F143" s="113">
        <v>0</v>
      </c>
      <c r="G143" s="113">
        <v>0</v>
      </c>
      <c r="H143" s="113">
        <v>0</v>
      </c>
      <c r="I143" s="134">
        <f t="shared" si="22"/>
        <v>0</v>
      </c>
      <c r="J143" s="113">
        <v>0</v>
      </c>
      <c r="K143" s="113">
        <v>0</v>
      </c>
      <c r="L143" s="113">
        <v>0</v>
      </c>
      <c r="M143" s="113">
        <f t="shared" si="20"/>
        <v>0</v>
      </c>
      <c r="N143" s="113">
        <v>0</v>
      </c>
      <c r="O143" s="113">
        <v>0</v>
      </c>
      <c r="P143" s="134">
        <f t="shared" si="21"/>
        <v>0</v>
      </c>
      <c r="Q143" s="113">
        <v>0</v>
      </c>
      <c r="R143" s="113">
        <v>0</v>
      </c>
      <c r="S143" s="134">
        <f t="shared" si="18"/>
        <v>0</v>
      </c>
      <c r="T143" s="114">
        <v>0</v>
      </c>
      <c r="U143" s="114">
        <v>0</v>
      </c>
      <c r="V143" s="114">
        <v>0</v>
      </c>
      <c r="W143" s="114">
        <v>0</v>
      </c>
    </row>
    <row r="144" spans="1:23" ht="12.75" x14ac:dyDescent="0.2">
      <c r="A144" s="115">
        <v>122</v>
      </c>
      <c r="B144" s="124" t="s">
        <v>294</v>
      </c>
      <c r="C144" s="125" t="s">
        <v>295</v>
      </c>
      <c r="D144" s="134">
        <f t="shared" si="17"/>
        <v>0</v>
      </c>
      <c r="E144" s="134">
        <f t="shared" si="19"/>
        <v>0</v>
      </c>
      <c r="F144" s="113">
        <v>0</v>
      </c>
      <c r="G144" s="113">
        <v>0</v>
      </c>
      <c r="H144" s="113">
        <v>0</v>
      </c>
      <c r="I144" s="134">
        <f t="shared" si="22"/>
        <v>0</v>
      </c>
      <c r="J144" s="113">
        <v>0</v>
      </c>
      <c r="K144" s="113">
        <v>0</v>
      </c>
      <c r="L144" s="113">
        <v>0</v>
      </c>
      <c r="M144" s="113">
        <f t="shared" si="20"/>
        <v>0</v>
      </c>
      <c r="N144" s="113">
        <v>0</v>
      </c>
      <c r="O144" s="113">
        <v>0</v>
      </c>
      <c r="P144" s="134">
        <f t="shared" si="21"/>
        <v>0</v>
      </c>
      <c r="Q144" s="113">
        <v>0</v>
      </c>
      <c r="R144" s="113">
        <v>0</v>
      </c>
      <c r="S144" s="134">
        <f t="shared" si="18"/>
        <v>0</v>
      </c>
      <c r="T144" s="114">
        <v>0</v>
      </c>
      <c r="U144" s="114">
        <v>0</v>
      </c>
      <c r="V144" s="114">
        <v>0</v>
      </c>
      <c r="W144" s="114">
        <v>0</v>
      </c>
    </row>
    <row r="145" spans="1:23" ht="12.75" x14ac:dyDescent="0.2">
      <c r="A145" s="115">
        <v>123</v>
      </c>
      <c r="B145" s="126" t="s">
        <v>296</v>
      </c>
      <c r="C145" s="127" t="s">
        <v>460</v>
      </c>
      <c r="D145" s="134">
        <f t="shared" si="17"/>
        <v>0</v>
      </c>
      <c r="E145" s="134">
        <f t="shared" si="19"/>
        <v>0</v>
      </c>
      <c r="F145" s="113">
        <v>0</v>
      </c>
      <c r="G145" s="113">
        <v>0</v>
      </c>
      <c r="H145" s="113">
        <v>0</v>
      </c>
      <c r="I145" s="134">
        <f t="shared" si="22"/>
        <v>0</v>
      </c>
      <c r="J145" s="113">
        <v>0</v>
      </c>
      <c r="K145" s="113">
        <v>0</v>
      </c>
      <c r="L145" s="113">
        <v>0</v>
      </c>
      <c r="M145" s="113">
        <f t="shared" si="20"/>
        <v>0</v>
      </c>
      <c r="N145" s="113">
        <v>0</v>
      </c>
      <c r="O145" s="113">
        <v>0</v>
      </c>
      <c r="P145" s="134">
        <f t="shared" si="21"/>
        <v>0</v>
      </c>
      <c r="Q145" s="113">
        <v>0</v>
      </c>
      <c r="R145" s="113">
        <v>0</v>
      </c>
      <c r="S145" s="134">
        <f t="shared" si="18"/>
        <v>0</v>
      </c>
      <c r="T145" s="114">
        <v>0</v>
      </c>
      <c r="U145" s="114">
        <v>0</v>
      </c>
      <c r="V145" s="114">
        <v>0</v>
      </c>
      <c r="W145" s="114">
        <v>0</v>
      </c>
    </row>
    <row r="146" spans="1:23" x14ac:dyDescent="0.2">
      <c r="A146" s="115">
        <v>124</v>
      </c>
      <c r="B146" s="115" t="s">
        <v>298</v>
      </c>
      <c r="C146" s="128" t="s">
        <v>299</v>
      </c>
      <c r="D146" s="134">
        <f t="shared" si="17"/>
        <v>0</v>
      </c>
      <c r="E146" s="134">
        <f t="shared" si="19"/>
        <v>0</v>
      </c>
      <c r="F146" s="113">
        <v>0</v>
      </c>
      <c r="G146" s="113">
        <v>0</v>
      </c>
      <c r="H146" s="113">
        <v>0</v>
      </c>
      <c r="I146" s="134">
        <f t="shared" si="22"/>
        <v>0</v>
      </c>
      <c r="J146" s="113">
        <v>0</v>
      </c>
      <c r="K146" s="113">
        <v>0</v>
      </c>
      <c r="L146" s="113">
        <v>0</v>
      </c>
      <c r="M146" s="113">
        <f t="shared" si="20"/>
        <v>0</v>
      </c>
      <c r="N146" s="113">
        <v>0</v>
      </c>
      <c r="O146" s="113">
        <v>0</v>
      </c>
      <c r="P146" s="134">
        <f t="shared" si="21"/>
        <v>0</v>
      </c>
      <c r="Q146" s="113">
        <v>0</v>
      </c>
      <c r="R146" s="113">
        <v>0</v>
      </c>
      <c r="S146" s="134">
        <f t="shared" si="18"/>
        <v>0</v>
      </c>
      <c r="T146" s="114">
        <v>0</v>
      </c>
      <c r="U146" s="114">
        <v>0</v>
      </c>
      <c r="V146" s="114">
        <v>0</v>
      </c>
      <c r="W146" s="114">
        <v>0</v>
      </c>
    </row>
    <row r="147" spans="1:23" x14ac:dyDescent="0.2">
      <c r="A147" s="115">
        <v>125</v>
      </c>
      <c r="B147" s="129" t="s">
        <v>300</v>
      </c>
      <c r="C147" s="128" t="s">
        <v>301</v>
      </c>
      <c r="D147" s="134">
        <f t="shared" si="17"/>
        <v>0</v>
      </c>
      <c r="E147" s="134">
        <f t="shared" si="19"/>
        <v>0</v>
      </c>
      <c r="F147" s="113">
        <v>0</v>
      </c>
      <c r="G147" s="113">
        <v>0</v>
      </c>
      <c r="H147" s="113">
        <v>0</v>
      </c>
      <c r="I147" s="134">
        <f t="shared" si="22"/>
        <v>0</v>
      </c>
      <c r="J147" s="113">
        <v>0</v>
      </c>
      <c r="K147" s="113">
        <v>0</v>
      </c>
      <c r="L147" s="113">
        <v>0</v>
      </c>
      <c r="M147" s="113">
        <f t="shared" si="20"/>
        <v>0</v>
      </c>
      <c r="N147" s="113">
        <v>0</v>
      </c>
      <c r="O147" s="113">
        <v>0</v>
      </c>
      <c r="P147" s="134">
        <f t="shared" si="21"/>
        <v>0</v>
      </c>
      <c r="Q147" s="113">
        <v>0</v>
      </c>
      <c r="R147" s="113">
        <v>0</v>
      </c>
      <c r="S147" s="134">
        <f t="shared" si="18"/>
        <v>0</v>
      </c>
      <c r="T147" s="114">
        <v>0</v>
      </c>
      <c r="U147" s="114">
        <v>0</v>
      </c>
      <c r="V147" s="114">
        <v>0</v>
      </c>
      <c r="W147" s="114">
        <v>0</v>
      </c>
    </row>
    <row r="148" spans="1:23" x14ac:dyDescent="0.2">
      <c r="A148" s="115">
        <v>126</v>
      </c>
      <c r="B148" s="130" t="s">
        <v>302</v>
      </c>
      <c r="C148" s="131" t="s">
        <v>303</v>
      </c>
      <c r="D148" s="134">
        <f t="shared" si="17"/>
        <v>0</v>
      </c>
      <c r="E148" s="134">
        <f t="shared" si="19"/>
        <v>0</v>
      </c>
      <c r="F148" s="113">
        <v>0</v>
      </c>
      <c r="G148" s="113">
        <v>0</v>
      </c>
      <c r="H148" s="113">
        <v>0</v>
      </c>
      <c r="I148" s="134">
        <f t="shared" si="22"/>
        <v>0</v>
      </c>
      <c r="J148" s="113">
        <v>0</v>
      </c>
      <c r="K148" s="113">
        <v>0</v>
      </c>
      <c r="L148" s="113">
        <v>0</v>
      </c>
      <c r="M148" s="113">
        <f t="shared" si="20"/>
        <v>0</v>
      </c>
      <c r="N148" s="113">
        <v>0</v>
      </c>
      <c r="O148" s="113">
        <v>0</v>
      </c>
      <c r="P148" s="134">
        <f t="shared" si="21"/>
        <v>0</v>
      </c>
      <c r="Q148" s="113">
        <v>0</v>
      </c>
      <c r="R148" s="113">
        <v>0</v>
      </c>
      <c r="S148" s="134">
        <f t="shared" si="18"/>
        <v>0</v>
      </c>
      <c r="T148" s="114">
        <v>0</v>
      </c>
      <c r="U148" s="114">
        <v>0</v>
      </c>
      <c r="V148" s="114">
        <v>0</v>
      </c>
      <c r="W148" s="114">
        <v>0</v>
      </c>
    </row>
    <row r="149" spans="1:23" x14ac:dyDescent="0.2">
      <c r="A149" s="115">
        <v>127</v>
      </c>
      <c r="B149" s="129" t="s">
        <v>304</v>
      </c>
      <c r="C149" s="128" t="s">
        <v>305</v>
      </c>
      <c r="D149" s="134">
        <f t="shared" si="17"/>
        <v>0</v>
      </c>
      <c r="E149" s="134">
        <f t="shared" si="19"/>
        <v>0</v>
      </c>
      <c r="F149" s="113">
        <v>0</v>
      </c>
      <c r="G149" s="113">
        <v>0</v>
      </c>
      <c r="H149" s="113">
        <v>0</v>
      </c>
      <c r="I149" s="134">
        <f t="shared" si="22"/>
        <v>0</v>
      </c>
      <c r="J149" s="113">
        <v>0</v>
      </c>
      <c r="K149" s="113">
        <v>0</v>
      </c>
      <c r="L149" s="113">
        <v>0</v>
      </c>
      <c r="M149" s="113">
        <f t="shared" si="20"/>
        <v>0</v>
      </c>
      <c r="N149" s="113">
        <v>0</v>
      </c>
      <c r="O149" s="113">
        <v>0</v>
      </c>
      <c r="P149" s="134">
        <f t="shared" si="21"/>
        <v>0</v>
      </c>
      <c r="Q149" s="113">
        <v>0</v>
      </c>
      <c r="R149" s="113">
        <v>0</v>
      </c>
      <c r="S149" s="134">
        <f t="shared" si="18"/>
        <v>0</v>
      </c>
      <c r="T149" s="114">
        <v>0</v>
      </c>
      <c r="U149" s="114">
        <v>0</v>
      </c>
      <c r="V149" s="114">
        <v>0</v>
      </c>
      <c r="W149" s="114">
        <v>0</v>
      </c>
    </row>
    <row r="150" spans="1:23" ht="12.75" customHeight="1" x14ac:dyDescent="0.2">
      <c r="A150" s="936"/>
      <c r="B150" s="936"/>
      <c r="C150" s="936"/>
      <c r="D150" s="132"/>
    </row>
    <row r="151" spans="1:23" x14ac:dyDescent="0.2">
      <c r="S151" s="573"/>
      <c r="T151" s="573"/>
      <c r="U151" s="573"/>
      <c r="V151" s="573"/>
      <c r="W151" s="573"/>
    </row>
  </sheetData>
  <mergeCells count="42">
    <mergeCell ref="A87:A88"/>
    <mergeCell ref="A92:A95"/>
    <mergeCell ref="B92:B95"/>
    <mergeCell ref="A150:C150"/>
    <mergeCell ref="A10:C10"/>
    <mergeCell ref="A11:C11"/>
    <mergeCell ref="A36:A37"/>
    <mergeCell ref="A74:A76"/>
    <mergeCell ref="A77:A80"/>
    <mergeCell ref="A84:A85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zoomScale="90" zoomScaleNormal="90" workbookViewId="0">
      <pane xSplit="4" ySplit="9" topLeftCell="E136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501" hidden="1" customWidth="1"/>
    <col min="2" max="2" width="7" style="501" customWidth="1"/>
    <col min="3" max="3" width="9" style="501" customWidth="1"/>
    <col min="4" max="4" width="57.5703125" style="501" customWidth="1"/>
    <col min="5" max="5" width="16.42578125" style="501" customWidth="1"/>
    <col min="6" max="6" width="12" style="501" customWidth="1"/>
    <col min="7" max="7" width="13.28515625" style="501" customWidth="1"/>
    <col min="8" max="16384" width="10.7109375" style="501"/>
  </cols>
  <sheetData>
    <row r="1" spans="1:11" ht="32.25" customHeight="1" x14ac:dyDescent="0.25">
      <c r="A1" s="500"/>
      <c r="B1" s="500"/>
      <c r="C1" s="951" t="s">
        <v>307</v>
      </c>
      <c r="D1" s="951"/>
      <c r="E1" s="951"/>
      <c r="F1" s="951"/>
      <c r="G1" s="951"/>
      <c r="H1" s="951"/>
      <c r="I1" s="951"/>
      <c r="J1" s="951"/>
      <c r="K1" s="951"/>
    </row>
    <row r="2" spans="1:11" s="502" customFormat="1" ht="35.25" customHeight="1" x14ac:dyDescent="0.2">
      <c r="A2" s="946" t="s">
        <v>0</v>
      </c>
      <c r="B2" s="946" t="s">
        <v>308</v>
      </c>
      <c r="C2" s="952" t="s">
        <v>1</v>
      </c>
      <c r="D2" s="953" t="s">
        <v>309</v>
      </c>
      <c r="E2" s="954" t="s">
        <v>310</v>
      </c>
      <c r="F2" s="954"/>
      <c r="G2" s="954"/>
      <c r="H2" s="954"/>
      <c r="I2" s="954"/>
      <c r="J2" s="954"/>
      <c r="K2" s="954"/>
    </row>
    <row r="3" spans="1:11" s="502" customFormat="1" ht="25.5" customHeight="1" x14ac:dyDescent="0.2">
      <c r="A3" s="946"/>
      <c r="B3" s="946"/>
      <c r="C3" s="952"/>
      <c r="D3" s="953"/>
      <c r="E3" s="944" t="s">
        <v>311</v>
      </c>
      <c r="F3" s="944"/>
      <c r="G3" s="944"/>
      <c r="H3" s="944" t="s">
        <v>312</v>
      </c>
      <c r="I3" s="944"/>
      <c r="J3" s="944"/>
      <c r="K3" s="944"/>
    </row>
    <row r="4" spans="1:11" s="502" customFormat="1" ht="25.5" customHeight="1" x14ac:dyDescent="0.2">
      <c r="A4" s="946"/>
      <c r="B4" s="946"/>
      <c r="C4" s="952"/>
      <c r="D4" s="953"/>
      <c r="E4" s="944" t="s">
        <v>313</v>
      </c>
      <c r="F4" s="945" t="s">
        <v>314</v>
      </c>
      <c r="G4" s="945"/>
      <c r="H4" s="944" t="s">
        <v>315</v>
      </c>
      <c r="I4" s="945" t="s">
        <v>316</v>
      </c>
      <c r="J4" s="945"/>
      <c r="K4" s="945"/>
    </row>
    <row r="5" spans="1:11" s="502" customFormat="1" ht="58.5" customHeight="1" x14ac:dyDescent="0.2">
      <c r="A5" s="946"/>
      <c r="B5" s="946"/>
      <c r="C5" s="952"/>
      <c r="D5" s="953"/>
      <c r="E5" s="944"/>
      <c r="F5" s="503" t="s">
        <v>317</v>
      </c>
      <c r="G5" s="503" t="s">
        <v>318</v>
      </c>
      <c r="H5" s="944"/>
      <c r="I5" s="503" t="s">
        <v>319</v>
      </c>
      <c r="J5" s="503" t="s">
        <v>320</v>
      </c>
      <c r="K5" s="503" t="s">
        <v>321</v>
      </c>
    </row>
    <row r="6" spans="1:11" s="502" customFormat="1" ht="12.75" customHeight="1" x14ac:dyDescent="0.2">
      <c r="A6" s="499">
        <v>1</v>
      </c>
      <c r="B6" s="499">
        <v>1</v>
      </c>
      <c r="C6" s="504">
        <v>2</v>
      </c>
      <c r="D6" s="505">
        <v>3</v>
      </c>
      <c r="E6" s="503">
        <v>4</v>
      </c>
      <c r="F6" s="503">
        <v>5</v>
      </c>
      <c r="G6" s="503">
        <v>6</v>
      </c>
      <c r="H6" s="503">
        <v>7</v>
      </c>
      <c r="I6" s="503">
        <v>8</v>
      </c>
      <c r="J6" s="503">
        <v>9</v>
      </c>
      <c r="K6" s="503">
        <v>10</v>
      </c>
    </row>
    <row r="7" spans="1:11" s="502" customFormat="1" ht="12.75" customHeight="1" x14ac:dyDescent="0.2">
      <c r="A7" s="499"/>
      <c r="B7" s="499"/>
      <c r="C7" s="504"/>
      <c r="D7" s="505" t="s">
        <v>13</v>
      </c>
      <c r="E7" s="506">
        <f>E9</f>
        <v>194709</v>
      </c>
      <c r="F7" s="506">
        <f>F9</f>
        <v>16031</v>
      </c>
      <c r="G7" s="506">
        <f>G9</f>
        <v>16031</v>
      </c>
      <c r="H7" s="506">
        <f>H9+H8</f>
        <v>4809</v>
      </c>
      <c r="I7" s="506">
        <f t="shared" ref="I7:K7" si="0">I9+I8</f>
        <v>1603</v>
      </c>
      <c r="J7" s="506">
        <f t="shared" si="0"/>
        <v>1603</v>
      </c>
      <c r="K7" s="506">
        <f t="shared" si="0"/>
        <v>1603</v>
      </c>
    </row>
    <row r="8" spans="1:11" s="502" customFormat="1" ht="12.75" customHeight="1" x14ac:dyDescent="0.2">
      <c r="A8" s="499"/>
      <c r="B8" s="499"/>
      <c r="C8" s="504"/>
      <c r="D8" s="505" t="s">
        <v>14</v>
      </c>
      <c r="E8" s="503"/>
      <c r="F8" s="503"/>
      <c r="G8" s="503"/>
      <c r="H8" s="503"/>
      <c r="I8" s="503"/>
      <c r="J8" s="503"/>
      <c r="K8" s="503"/>
    </row>
    <row r="9" spans="1:11" s="502" customFormat="1" ht="21" customHeight="1" x14ac:dyDescent="0.2">
      <c r="A9" s="946" t="s">
        <v>322</v>
      </c>
      <c r="B9" s="946"/>
      <c r="C9" s="946"/>
      <c r="D9" s="946"/>
      <c r="E9" s="507">
        <f t="shared" ref="E9:K9" si="1">SUM(E10:E145)-E91</f>
        <v>194709</v>
      </c>
      <c r="F9" s="507">
        <f t="shared" si="1"/>
        <v>16031</v>
      </c>
      <c r="G9" s="507">
        <f t="shared" si="1"/>
        <v>16031</v>
      </c>
      <c r="H9" s="507">
        <f t="shared" si="1"/>
        <v>4809</v>
      </c>
      <c r="I9" s="507">
        <f t="shared" si="1"/>
        <v>1603</v>
      </c>
      <c r="J9" s="507">
        <f t="shared" si="1"/>
        <v>1603</v>
      </c>
      <c r="K9" s="507">
        <f t="shared" si="1"/>
        <v>1603</v>
      </c>
    </row>
    <row r="10" spans="1:11" x14ac:dyDescent="0.25">
      <c r="A10" s="499">
        <v>1</v>
      </c>
      <c r="B10" s="499">
        <v>1</v>
      </c>
      <c r="C10" s="70" t="s">
        <v>54</v>
      </c>
      <c r="D10" s="30" t="s">
        <v>55</v>
      </c>
      <c r="E10" s="506">
        <v>867</v>
      </c>
      <c r="F10" s="506">
        <v>3</v>
      </c>
      <c r="G10" s="506">
        <v>3</v>
      </c>
      <c r="H10" s="506">
        <v>0</v>
      </c>
      <c r="I10" s="506">
        <v>0</v>
      </c>
      <c r="J10" s="506">
        <v>0</v>
      </c>
      <c r="K10" s="506">
        <v>0</v>
      </c>
    </row>
    <row r="11" spans="1:11" x14ac:dyDescent="0.25">
      <c r="A11" s="499">
        <v>2</v>
      </c>
      <c r="B11" s="499">
        <v>2</v>
      </c>
      <c r="C11" s="71" t="s">
        <v>56</v>
      </c>
      <c r="D11" s="30" t="s">
        <v>57</v>
      </c>
      <c r="E11" s="506">
        <v>896</v>
      </c>
      <c r="F11" s="506">
        <v>0</v>
      </c>
      <c r="G11" s="506">
        <v>0</v>
      </c>
      <c r="H11" s="506">
        <v>0</v>
      </c>
      <c r="I11" s="506">
        <v>0</v>
      </c>
      <c r="J11" s="506">
        <v>0</v>
      </c>
      <c r="K11" s="506">
        <v>0</v>
      </c>
    </row>
    <row r="12" spans="1:11" x14ac:dyDescent="0.25">
      <c r="A12" s="499">
        <v>3</v>
      </c>
      <c r="B12" s="499">
        <v>3</v>
      </c>
      <c r="C12" s="69" t="s">
        <v>16</v>
      </c>
      <c r="D12" s="30" t="s">
        <v>17</v>
      </c>
      <c r="E12" s="506">
        <v>2719</v>
      </c>
      <c r="F12" s="506">
        <v>1750</v>
      </c>
      <c r="G12" s="506">
        <v>1750</v>
      </c>
      <c r="H12" s="506">
        <v>525</v>
      </c>
      <c r="I12" s="506">
        <v>175</v>
      </c>
      <c r="J12" s="506">
        <v>175</v>
      </c>
      <c r="K12" s="506">
        <v>175</v>
      </c>
    </row>
    <row r="13" spans="1:11" x14ac:dyDescent="0.25">
      <c r="A13" s="499">
        <v>4</v>
      </c>
      <c r="B13" s="499">
        <v>4</v>
      </c>
      <c r="C13" s="70" t="s">
        <v>58</v>
      </c>
      <c r="D13" s="30" t="s">
        <v>59</v>
      </c>
      <c r="E13" s="506">
        <v>963</v>
      </c>
      <c r="F13" s="506">
        <v>1</v>
      </c>
      <c r="G13" s="506">
        <v>1</v>
      </c>
      <c r="H13" s="506">
        <v>0</v>
      </c>
      <c r="I13" s="506">
        <v>0</v>
      </c>
      <c r="J13" s="506">
        <v>0</v>
      </c>
      <c r="K13" s="506">
        <v>0</v>
      </c>
    </row>
    <row r="14" spans="1:11" x14ac:dyDescent="0.25">
      <c r="A14" s="499">
        <v>5</v>
      </c>
      <c r="B14" s="499">
        <v>5</v>
      </c>
      <c r="C14" s="70" t="s">
        <v>60</v>
      </c>
      <c r="D14" s="30" t="s">
        <v>61</v>
      </c>
      <c r="E14" s="506">
        <v>1046</v>
      </c>
      <c r="F14" s="506">
        <v>0</v>
      </c>
      <c r="G14" s="506">
        <v>0</v>
      </c>
      <c r="H14" s="506">
        <v>0</v>
      </c>
      <c r="I14" s="506">
        <v>0</v>
      </c>
      <c r="J14" s="506">
        <v>0</v>
      </c>
      <c r="K14" s="506">
        <v>0</v>
      </c>
    </row>
    <row r="15" spans="1:11" x14ac:dyDescent="0.25">
      <c r="A15" s="499">
        <v>6</v>
      </c>
      <c r="B15" s="499">
        <v>6</v>
      </c>
      <c r="C15" s="69" t="s">
        <v>18</v>
      </c>
      <c r="D15" s="30" t="s">
        <v>19</v>
      </c>
      <c r="E15" s="506">
        <v>7492</v>
      </c>
      <c r="F15" s="506">
        <v>3764</v>
      </c>
      <c r="G15" s="506">
        <v>3764</v>
      </c>
      <c r="H15" s="506">
        <v>1128</v>
      </c>
      <c r="I15" s="506">
        <v>376</v>
      </c>
      <c r="J15" s="506">
        <v>376</v>
      </c>
      <c r="K15" s="506">
        <v>376</v>
      </c>
    </row>
    <row r="16" spans="1:11" x14ac:dyDescent="0.25">
      <c r="A16" s="499">
        <v>7</v>
      </c>
      <c r="B16" s="499">
        <v>7</v>
      </c>
      <c r="C16" s="70" t="s">
        <v>62</v>
      </c>
      <c r="D16" s="30" t="s">
        <v>63</v>
      </c>
      <c r="E16" s="506">
        <v>2746</v>
      </c>
      <c r="F16" s="506">
        <v>1</v>
      </c>
      <c r="G16" s="506">
        <v>1</v>
      </c>
      <c r="H16" s="506">
        <v>0</v>
      </c>
      <c r="I16" s="506">
        <v>0</v>
      </c>
      <c r="J16" s="506">
        <v>0</v>
      </c>
      <c r="K16" s="506">
        <v>0</v>
      </c>
    </row>
    <row r="17" spans="1:11" x14ac:dyDescent="0.25">
      <c r="A17" s="499">
        <v>8</v>
      </c>
      <c r="B17" s="499">
        <v>8</v>
      </c>
      <c r="C17" s="69" t="s">
        <v>64</v>
      </c>
      <c r="D17" s="30" t="s">
        <v>65</v>
      </c>
      <c r="E17" s="506">
        <v>1109</v>
      </c>
      <c r="F17" s="506">
        <v>10</v>
      </c>
      <c r="G17" s="506">
        <v>10</v>
      </c>
      <c r="H17" s="506">
        <v>3</v>
      </c>
      <c r="I17" s="506">
        <v>1</v>
      </c>
      <c r="J17" s="506">
        <v>1</v>
      </c>
      <c r="K17" s="506">
        <v>1</v>
      </c>
    </row>
    <row r="18" spans="1:11" x14ac:dyDescent="0.25">
      <c r="A18" s="499">
        <v>9</v>
      </c>
      <c r="B18" s="499">
        <v>9</v>
      </c>
      <c r="C18" s="69" t="s">
        <v>66</v>
      </c>
      <c r="D18" s="30" t="s">
        <v>67</v>
      </c>
      <c r="E18" s="506">
        <v>993</v>
      </c>
      <c r="F18" s="506">
        <v>51</v>
      </c>
      <c r="G18" s="506">
        <v>51</v>
      </c>
      <c r="H18" s="506">
        <v>15</v>
      </c>
      <c r="I18" s="506">
        <v>5</v>
      </c>
      <c r="J18" s="506">
        <v>5</v>
      </c>
      <c r="K18" s="506">
        <v>5</v>
      </c>
    </row>
    <row r="19" spans="1:11" x14ac:dyDescent="0.25">
      <c r="A19" s="499">
        <v>10</v>
      </c>
      <c r="B19" s="499">
        <v>10</v>
      </c>
      <c r="C19" s="69" t="s">
        <v>68</v>
      </c>
      <c r="D19" s="30" t="s">
        <v>69</v>
      </c>
      <c r="E19" s="506">
        <v>1388</v>
      </c>
      <c r="F19" s="506">
        <v>3</v>
      </c>
      <c r="G19" s="506">
        <v>3</v>
      </c>
      <c r="H19" s="506">
        <v>0</v>
      </c>
      <c r="I19" s="506">
        <v>0</v>
      </c>
      <c r="J19" s="506">
        <v>0</v>
      </c>
      <c r="K19" s="506">
        <v>0</v>
      </c>
    </row>
    <row r="20" spans="1:11" x14ac:dyDescent="0.25">
      <c r="A20" s="499">
        <v>11</v>
      </c>
      <c r="B20" s="499">
        <v>11</v>
      </c>
      <c r="C20" s="69" t="s">
        <v>70</v>
      </c>
      <c r="D20" s="30" t="s">
        <v>71</v>
      </c>
      <c r="E20" s="506">
        <v>987</v>
      </c>
      <c r="F20" s="506">
        <v>32</v>
      </c>
      <c r="G20" s="506">
        <v>32</v>
      </c>
      <c r="H20" s="506">
        <v>9</v>
      </c>
      <c r="I20" s="506">
        <v>3</v>
      </c>
      <c r="J20" s="506">
        <v>3</v>
      </c>
      <c r="K20" s="506">
        <v>3</v>
      </c>
    </row>
    <row r="21" spans="1:11" x14ac:dyDescent="0.25">
      <c r="A21" s="499">
        <v>12</v>
      </c>
      <c r="B21" s="499">
        <v>12</v>
      </c>
      <c r="C21" s="69" t="s">
        <v>72</v>
      </c>
      <c r="D21" s="30" t="s">
        <v>73</v>
      </c>
      <c r="E21" s="506">
        <v>2045</v>
      </c>
      <c r="F21" s="506">
        <v>10</v>
      </c>
      <c r="G21" s="506">
        <v>10</v>
      </c>
      <c r="H21" s="506">
        <v>3</v>
      </c>
      <c r="I21" s="506">
        <v>1</v>
      </c>
      <c r="J21" s="506">
        <v>1</v>
      </c>
      <c r="K21" s="506">
        <v>1</v>
      </c>
    </row>
    <row r="22" spans="1:11" x14ac:dyDescent="0.25">
      <c r="A22" s="499">
        <v>13</v>
      </c>
      <c r="B22" s="499">
        <v>13</v>
      </c>
      <c r="C22" s="69" t="s">
        <v>74</v>
      </c>
      <c r="D22" s="30" t="s">
        <v>75</v>
      </c>
      <c r="E22" s="506">
        <v>0</v>
      </c>
      <c r="F22" s="506">
        <v>0</v>
      </c>
      <c r="G22" s="506">
        <v>0</v>
      </c>
      <c r="H22" s="506">
        <v>0</v>
      </c>
      <c r="I22" s="506">
        <v>0</v>
      </c>
      <c r="J22" s="506">
        <v>0</v>
      </c>
      <c r="K22" s="506">
        <v>0</v>
      </c>
    </row>
    <row r="23" spans="1:11" x14ac:dyDescent="0.25">
      <c r="A23" s="499">
        <v>14</v>
      </c>
      <c r="B23" s="499">
        <v>14</v>
      </c>
      <c r="C23" s="69" t="s">
        <v>76</v>
      </c>
      <c r="D23" s="30" t="s">
        <v>77</v>
      </c>
      <c r="E23" s="506">
        <v>1269</v>
      </c>
      <c r="F23" s="506">
        <v>1269</v>
      </c>
      <c r="G23" s="506">
        <v>1269</v>
      </c>
      <c r="H23" s="506">
        <v>381</v>
      </c>
      <c r="I23" s="506">
        <v>127</v>
      </c>
      <c r="J23" s="506">
        <v>127</v>
      </c>
      <c r="K23" s="506">
        <v>127</v>
      </c>
    </row>
    <row r="24" spans="1:11" x14ac:dyDescent="0.25">
      <c r="A24" s="499">
        <v>15</v>
      </c>
      <c r="B24" s="499">
        <v>15</v>
      </c>
      <c r="C24" s="69" t="s">
        <v>78</v>
      </c>
      <c r="D24" s="30" t="s">
        <v>79</v>
      </c>
      <c r="E24" s="506">
        <v>1832</v>
      </c>
      <c r="F24" s="506">
        <v>140</v>
      </c>
      <c r="G24" s="506">
        <v>140</v>
      </c>
      <c r="H24" s="506">
        <v>42</v>
      </c>
      <c r="I24" s="506">
        <v>14</v>
      </c>
      <c r="J24" s="506">
        <v>14</v>
      </c>
      <c r="K24" s="506">
        <v>14</v>
      </c>
    </row>
    <row r="25" spans="1:11" x14ac:dyDescent="0.25">
      <c r="A25" s="499">
        <v>16</v>
      </c>
      <c r="B25" s="499">
        <v>16</v>
      </c>
      <c r="C25" s="69" t="s">
        <v>80</v>
      </c>
      <c r="D25" s="30" t="s">
        <v>81</v>
      </c>
      <c r="E25" s="506">
        <v>2395</v>
      </c>
      <c r="F25" s="506">
        <v>12</v>
      </c>
      <c r="G25" s="506">
        <v>12</v>
      </c>
      <c r="H25" s="506">
        <v>3</v>
      </c>
      <c r="I25" s="506">
        <v>1</v>
      </c>
      <c r="J25" s="506">
        <v>1</v>
      </c>
      <c r="K25" s="506">
        <v>1</v>
      </c>
    </row>
    <row r="26" spans="1:11" x14ac:dyDescent="0.25">
      <c r="A26" s="499">
        <v>17</v>
      </c>
      <c r="B26" s="499">
        <v>17</v>
      </c>
      <c r="C26" s="69" t="s">
        <v>20</v>
      </c>
      <c r="D26" s="30" t="s">
        <v>21</v>
      </c>
      <c r="E26" s="506">
        <v>4578</v>
      </c>
      <c r="F26" s="506">
        <v>10</v>
      </c>
      <c r="G26" s="506">
        <v>10</v>
      </c>
      <c r="H26" s="506">
        <v>3</v>
      </c>
      <c r="I26" s="506">
        <v>1</v>
      </c>
      <c r="J26" s="506">
        <v>1</v>
      </c>
      <c r="K26" s="506">
        <v>1</v>
      </c>
    </row>
    <row r="27" spans="1:11" x14ac:dyDescent="0.25">
      <c r="A27" s="499">
        <v>18</v>
      </c>
      <c r="B27" s="499">
        <v>18</v>
      </c>
      <c r="C27" s="70" t="s">
        <v>82</v>
      </c>
      <c r="D27" s="30" t="s">
        <v>83</v>
      </c>
      <c r="E27" s="506">
        <v>745</v>
      </c>
      <c r="F27" s="506">
        <v>745</v>
      </c>
      <c r="G27" s="506">
        <v>745</v>
      </c>
      <c r="H27" s="506">
        <v>225</v>
      </c>
      <c r="I27" s="506">
        <v>75</v>
      </c>
      <c r="J27" s="506">
        <v>75</v>
      </c>
      <c r="K27" s="506">
        <v>75</v>
      </c>
    </row>
    <row r="28" spans="1:11" x14ac:dyDescent="0.25">
      <c r="A28" s="499">
        <v>19</v>
      </c>
      <c r="B28" s="499">
        <v>19</v>
      </c>
      <c r="C28" s="70" t="s">
        <v>84</v>
      </c>
      <c r="D28" s="30" t="s">
        <v>85</v>
      </c>
      <c r="E28" s="506">
        <v>631</v>
      </c>
      <c r="F28" s="506">
        <v>16</v>
      </c>
      <c r="G28" s="506">
        <v>16</v>
      </c>
      <c r="H28" s="506">
        <v>6</v>
      </c>
      <c r="I28" s="506">
        <v>2</v>
      </c>
      <c r="J28" s="506">
        <v>2</v>
      </c>
      <c r="K28" s="506">
        <v>2</v>
      </c>
    </row>
    <row r="29" spans="1:11" x14ac:dyDescent="0.25">
      <c r="A29" s="499">
        <v>20</v>
      </c>
      <c r="B29" s="499">
        <v>20</v>
      </c>
      <c r="C29" s="70" t="s">
        <v>86</v>
      </c>
      <c r="D29" s="30" t="s">
        <v>87</v>
      </c>
      <c r="E29" s="506">
        <v>3260</v>
      </c>
      <c r="F29" s="506">
        <v>163</v>
      </c>
      <c r="G29" s="506">
        <v>163</v>
      </c>
      <c r="H29" s="506">
        <v>48</v>
      </c>
      <c r="I29" s="506">
        <v>16</v>
      </c>
      <c r="J29" s="506">
        <v>16</v>
      </c>
      <c r="K29" s="506">
        <v>16</v>
      </c>
    </row>
    <row r="30" spans="1:11" x14ac:dyDescent="0.25">
      <c r="A30" s="499">
        <v>21</v>
      </c>
      <c r="B30" s="499">
        <v>21</v>
      </c>
      <c r="C30" s="70" t="s">
        <v>22</v>
      </c>
      <c r="D30" s="30" t="s">
        <v>23</v>
      </c>
      <c r="E30" s="506">
        <v>2735</v>
      </c>
      <c r="F30" s="506">
        <v>2099</v>
      </c>
      <c r="G30" s="506">
        <v>2099</v>
      </c>
      <c r="H30" s="506">
        <v>630</v>
      </c>
      <c r="I30" s="506">
        <v>210</v>
      </c>
      <c r="J30" s="506">
        <v>210</v>
      </c>
      <c r="K30" s="506">
        <v>210</v>
      </c>
    </row>
    <row r="31" spans="1:11" x14ac:dyDescent="0.25">
      <c r="A31" s="499">
        <v>22</v>
      </c>
      <c r="B31" s="499">
        <v>22</v>
      </c>
      <c r="C31" s="69" t="s">
        <v>24</v>
      </c>
      <c r="D31" s="30" t="s">
        <v>25</v>
      </c>
      <c r="E31" s="506">
        <v>676</v>
      </c>
      <c r="F31" s="506">
        <v>10</v>
      </c>
      <c r="G31" s="506">
        <v>10</v>
      </c>
      <c r="H31" s="506">
        <v>3</v>
      </c>
      <c r="I31" s="506">
        <v>1</v>
      </c>
      <c r="J31" s="506">
        <v>1</v>
      </c>
      <c r="K31" s="506">
        <v>1</v>
      </c>
    </row>
    <row r="32" spans="1:11" x14ac:dyDescent="0.25">
      <c r="A32" s="499">
        <v>23</v>
      </c>
      <c r="B32" s="499">
        <v>23</v>
      </c>
      <c r="C32" s="69" t="s">
        <v>88</v>
      </c>
      <c r="D32" s="30" t="s">
        <v>89</v>
      </c>
      <c r="E32" s="506">
        <v>0</v>
      </c>
      <c r="F32" s="506">
        <v>0</v>
      </c>
      <c r="G32" s="506">
        <v>0</v>
      </c>
      <c r="H32" s="506">
        <v>0</v>
      </c>
      <c r="I32" s="506">
        <v>0</v>
      </c>
      <c r="J32" s="506">
        <v>0</v>
      </c>
      <c r="K32" s="506">
        <v>0</v>
      </c>
    </row>
    <row r="33" spans="1:11" x14ac:dyDescent="0.25">
      <c r="A33" s="499">
        <v>24</v>
      </c>
      <c r="B33" s="499">
        <v>24</v>
      </c>
      <c r="C33" s="69" t="s">
        <v>90</v>
      </c>
      <c r="D33" s="30" t="s">
        <v>91</v>
      </c>
      <c r="E33" s="506">
        <v>0</v>
      </c>
      <c r="F33" s="506">
        <v>0</v>
      </c>
      <c r="G33" s="506">
        <v>0</v>
      </c>
      <c r="H33" s="506">
        <v>0</v>
      </c>
      <c r="I33" s="506">
        <v>0</v>
      </c>
      <c r="J33" s="506">
        <v>0</v>
      </c>
      <c r="K33" s="506">
        <v>0</v>
      </c>
    </row>
    <row r="34" spans="1:11" x14ac:dyDescent="0.25">
      <c r="A34" s="499">
        <v>25</v>
      </c>
      <c r="B34" s="499">
        <v>25</v>
      </c>
      <c r="C34" s="70" t="s">
        <v>92</v>
      </c>
      <c r="D34" s="30" t="s">
        <v>93</v>
      </c>
      <c r="E34" s="506">
        <v>14779</v>
      </c>
      <c r="F34" s="506">
        <v>20</v>
      </c>
      <c r="G34" s="506">
        <v>20</v>
      </c>
      <c r="H34" s="506">
        <v>6</v>
      </c>
      <c r="I34" s="506">
        <v>2</v>
      </c>
      <c r="J34" s="506">
        <v>2</v>
      </c>
      <c r="K34" s="506">
        <v>2</v>
      </c>
    </row>
    <row r="35" spans="1:11" x14ac:dyDescent="0.25">
      <c r="A35" s="499">
        <v>26</v>
      </c>
      <c r="B35" s="499">
        <v>26</v>
      </c>
      <c r="C35" s="69" t="s">
        <v>94</v>
      </c>
      <c r="D35" s="30" t="s">
        <v>95</v>
      </c>
      <c r="E35" s="506">
        <v>0</v>
      </c>
      <c r="F35" s="506">
        <v>0</v>
      </c>
      <c r="G35" s="506">
        <v>0</v>
      </c>
      <c r="H35" s="506">
        <v>0</v>
      </c>
      <c r="I35" s="506">
        <v>0</v>
      </c>
      <c r="J35" s="506">
        <v>0</v>
      </c>
      <c r="K35" s="506">
        <v>0</v>
      </c>
    </row>
    <row r="36" spans="1:11" x14ac:dyDescent="0.25">
      <c r="A36" s="499">
        <v>27</v>
      </c>
      <c r="B36" s="499">
        <v>27</v>
      </c>
      <c r="C36" s="71" t="s">
        <v>96</v>
      </c>
      <c r="D36" s="30" t="s">
        <v>97</v>
      </c>
      <c r="E36" s="506">
        <v>0</v>
      </c>
      <c r="F36" s="506">
        <v>0</v>
      </c>
      <c r="G36" s="506">
        <v>0</v>
      </c>
      <c r="H36" s="506">
        <v>0</v>
      </c>
      <c r="I36" s="506">
        <v>0</v>
      </c>
      <c r="J36" s="506">
        <v>0</v>
      </c>
      <c r="K36" s="506">
        <v>0</v>
      </c>
    </row>
    <row r="37" spans="1:11" x14ac:dyDescent="0.25">
      <c r="A37" s="499">
        <v>29</v>
      </c>
      <c r="B37" s="499">
        <v>28</v>
      </c>
      <c r="C37" s="71" t="s">
        <v>26</v>
      </c>
      <c r="D37" s="30" t="s">
        <v>27</v>
      </c>
      <c r="E37" s="506">
        <v>3944</v>
      </c>
      <c r="F37" s="506">
        <v>110</v>
      </c>
      <c r="G37" s="506">
        <v>110</v>
      </c>
      <c r="H37" s="548">
        <f>I37+J37+K37</f>
        <v>669</v>
      </c>
      <c r="I37" s="548">
        <v>223</v>
      </c>
      <c r="J37" s="548">
        <v>223</v>
      </c>
      <c r="K37" s="548">
        <v>223</v>
      </c>
    </row>
    <row r="38" spans="1:11" x14ac:dyDescent="0.25">
      <c r="A38" s="499">
        <v>30</v>
      </c>
      <c r="B38" s="499">
        <v>29</v>
      </c>
      <c r="C38" s="70" t="s">
        <v>98</v>
      </c>
      <c r="D38" s="30" t="s">
        <v>99</v>
      </c>
      <c r="E38" s="506">
        <v>5806</v>
      </c>
      <c r="F38" s="506">
        <v>19</v>
      </c>
      <c r="G38" s="506">
        <v>19</v>
      </c>
      <c r="H38" s="506">
        <v>6</v>
      </c>
      <c r="I38" s="506">
        <v>2</v>
      </c>
      <c r="J38" s="506">
        <v>2</v>
      </c>
      <c r="K38" s="506">
        <v>2</v>
      </c>
    </row>
    <row r="39" spans="1:11" x14ac:dyDescent="0.25">
      <c r="A39" s="499">
        <v>31</v>
      </c>
      <c r="B39" s="499">
        <v>30</v>
      </c>
      <c r="C39" s="71" t="s">
        <v>100</v>
      </c>
      <c r="D39" s="30" t="s">
        <v>101</v>
      </c>
      <c r="E39" s="506">
        <v>1113</v>
      </c>
      <c r="F39" s="506">
        <v>15</v>
      </c>
      <c r="G39" s="506">
        <v>15</v>
      </c>
      <c r="H39" s="506">
        <v>6</v>
      </c>
      <c r="I39" s="506">
        <v>2</v>
      </c>
      <c r="J39" s="506">
        <v>2</v>
      </c>
      <c r="K39" s="506">
        <v>2</v>
      </c>
    </row>
    <row r="40" spans="1:11" x14ac:dyDescent="0.25">
      <c r="A40" s="499">
        <v>32</v>
      </c>
      <c r="B40" s="499">
        <v>31</v>
      </c>
      <c r="C40" s="69" t="s">
        <v>102</v>
      </c>
      <c r="D40" s="30" t="s">
        <v>103</v>
      </c>
      <c r="E40" s="506">
        <v>4013</v>
      </c>
      <c r="F40" s="506">
        <v>51</v>
      </c>
      <c r="G40" s="506">
        <v>51</v>
      </c>
      <c r="H40" s="506">
        <v>15</v>
      </c>
      <c r="I40" s="506">
        <v>5</v>
      </c>
      <c r="J40" s="506">
        <v>5</v>
      </c>
      <c r="K40" s="506">
        <v>5</v>
      </c>
    </row>
    <row r="41" spans="1:11" x14ac:dyDescent="0.25">
      <c r="A41" s="499">
        <v>33</v>
      </c>
      <c r="B41" s="499">
        <v>32</v>
      </c>
      <c r="C41" s="71" t="s">
        <v>104</v>
      </c>
      <c r="D41" s="30" t="s">
        <v>105</v>
      </c>
      <c r="E41" s="506">
        <v>1475</v>
      </c>
      <c r="F41" s="506">
        <v>2</v>
      </c>
      <c r="G41" s="506">
        <v>2</v>
      </c>
      <c r="H41" s="506">
        <v>0</v>
      </c>
      <c r="I41" s="506">
        <v>0</v>
      </c>
      <c r="J41" s="506">
        <v>0</v>
      </c>
      <c r="K41" s="506">
        <v>0</v>
      </c>
    </row>
    <row r="42" spans="1:11" x14ac:dyDescent="0.25">
      <c r="A42" s="499">
        <v>34</v>
      </c>
      <c r="B42" s="499">
        <v>33</v>
      </c>
      <c r="C42" s="70" t="s">
        <v>106</v>
      </c>
      <c r="D42" s="30" t="s">
        <v>107</v>
      </c>
      <c r="E42" s="506">
        <v>3862</v>
      </c>
      <c r="F42" s="506">
        <v>0</v>
      </c>
      <c r="G42" s="506">
        <v>0</v>
      </c>
      <c r="H42" s="506">
        <v>0</v>
      </c>
      <c r="I42" s="506">
        <v>0</v>
      </c>
      <c r="J42" s="506">
        <v>0</v>
      </c>
      <c r="K42" s="506">
        <v>0</v>
      </c>
    </row>
    <row r="43" spans="1:11" x14ac:dyDescent="0.25">
      <c r="A43" s="499">
        <v>35</v>
      </c>
      <c r="B43" s="499">
        <v>34</v>
      </c>
      <c r="C43" s="508" t="s">
        <v>108</v>
      </c>
      <c r="D43" s="509" t="s">
        <v>109</v>
      </c>
      <c r="E43" s="506">
        <v>1321</v>
      </c>
      <c r="F43" s="506">
        <v>0</v>
      </c>
      <c r="G43" s="506">
        <v>0</v>
      </c>
      <c r="H43" s="506">
        <v>0</v>
      </c>
      <c r="I43" s="506">
        <v>0</v>
      </c>
      <c r="J43" s="506">
        <v>0</v>
      </c>
      <c r="K43" s="506">
        <v>0</v>
      </c>
    </row>
    <row r="44" spans="1:11" x14ac:dyDescent="0.25">
      <c r="A44" s="499">
        <v>36</v>
      </c>
      <c r="B44" s="499">
        <v>35</v>
      </c>
      <c r="C44" s="70" t="s">
        <v>110</v>
      </c>
      <c r="D44" s="30" t="s">
        <v>111</v>
      </c>
      <c r="E44" s="506">
        <v>849</v>
      </c>
      <c r="F44" s="506">
        <v>15</v>
      </c>
      <c r="G44" s="506">
        <v>15</v>
      </c>
      <c r="H44" s="506">
        <v>6</v>
      </c>
      <c r="I44" s="506">
        <v>2</v>
      </c>
      <c r="J44" s="506">
        <v>2</v>
      </c>
      <c r="K44" s="506">
        <v>2</v>
      </c>
    </row>
    <row r="45" spans="1:11" x14ac:dyDescent="0.25">
      <c r="A45" s="499">
        <v>37</v>
      </c>
      <c r="B45" s="499">
        <v>36</v>
      </c>
      <c r="C45" s="70" t="s">
        <v>112</v>
      </c>
      <c r="D45" s="30" t="s">
        <v>113</v>
      </c>
      <c r="E45" s="506">
        <v>1507</v>
      </c>
      <c r="F45" s="506">
        <v>370</v>
      </c>
      <c r="G45" s="506">
        <v>370</v>
      </c>
      <c r="H45" s="506">
        <v>111</v>
      </c>
      <c r="I45" s="506">
        <v>37</v>
      </c>
      <c r="J45" s="506">
        <v>37</v>
      </c>
      <c r="K45" s="506">
        <v>37</v>
      </c>
    </row>
    <row r="46" spans="1:11" x14ac:dyDescent="0.25">
      <c r="A46" s="499">
        <v>38</v>
      </c>
      <c r="B46" s="499">
        <v>37</v>
      </c>
      <c r="C46" s="69" t="s">
        <v>114</v>
      </c>
      <c r="D46" s="30" t="s">
        <v>115</v>
      </c>
      <c r="E46" s="506">
        <v>688</v>
      </c>
      <c r="F46" s="506">
        <v>0</v>
      </c>
      <c r="G46" s="506">
        <v>0</v>
      </c>
      <c r="H46" s="506">
        <v>0</v>
      </c>
      <c r="I46" s="506">
        <v>0</v>
      </c>
      <c r="J46" s="506">
        <v>0</v>
      </c>
      <c r="K46" s="506">
        <v>0</v>
      </c>
    </row>
    <row r="47" spans="1:11" x14ac:dyDescent="0.25">
      <c r="A47" s="499">
        <v>39</v>
      </c>
      <c r="B47" s="499">
        <v>38</v>
      </c>
      <c r="C47" s="71" t="s">
        <v>116</v>
      </c>
      <c r="D47" s="30" t="s">
        <v>117</v>
      </c>
      <c r="E47" s="506">
        <v>992</v>
      </c>
      <c r="F47" s="506">
        <v>0</v>
      </c>
      <c r="G47" s="506">
        <v>0</v>
      </c>
      <c r="H47" s="506">
        <v>0</v>
      </c>
      <c r="I47" s="506">
        <v>0</v>
      </c>
      <c r="J47" s="506">
        <v>0</v>
      </c>
      <c r="K47" s="506">
        <v>0</v>
      </c>
    </row>
    <row r="48" spans="1:11" x14ac:dyDescent="0.25">
      <c r="A48" s="499">
        <v>40</v>
      </c>
      <c r="B48" s="499">
        <v>39</v>
      </c>
      <c r="C48" s="69" t="s">
        <v>28</v>
      </c>
      <c r="D48" s="30" t="s">
        <v>29</v>
      </c>
      <c r="E48" s="506">
        <v>5155</v>
      </c>
      <c r="F48" s="506">
        <v>73</v>
      </c>
      <c r="G48" s="506">
        <v>73</v>
      </c>
      <c r="H48" s="506">
        <v>21</v>
      </c>
      <c r="I48" s="506">
        <v>7</v>
      </c>
      <c r="J48" s="506">
        <v>7</v>
      </c>
      <c r="K48" s="506">
        <v>7</v>
      </c>
    </row>
    <row r="49" spans="1:11" x14ac:dyDescent="0.25">
      <c r="A49" s="499">
        <v>41</v>
      </c>
      <c r="B49" s="499">
        <v>40</v>
      </c>
      <c r="C49" s="70" t="s">
        <v>118</v>
      </c>
      <c r="D49" s="30" t="s">
        <v>119</v>
      </c>
      <c r="E49" s="506">
        <v>1196</v>
      </c>
      <c r="F49" s="506">
        <v>0</v>
      </c>
      <c r="G49" s="506">
        <v>0</v>
      </c>
      <c r="H49" s="506">
        <v>0</v>
      </c>
      <c r="I49" s="506">
        <v>0</v>
      </c>
      <c r="J49" s="506">
        <v>0</v>
      </c>
      <c r="K49" s="506">
        <v>0</v>
      </c>
    </row>
    <row r="50" spans="1:11" x14ac:dyDescent="0.25">
      <c r="A50" s="499">
        <v>42</v>
      </c>
      <c r="B50" s="499">
        <v>41</v>
      </c>
      <c r="C50" s="70" t="s">
        <v>120</v>
      </c>
      <c r="D50" s="30" t="s">
        <v>121</v>
      </c>
      <c r="E50" s="506">
        <v>4184</v>
      </c>
      <c r="F50" s="506">
        <v>13</v>
      </c>
      <c r="G50" s="506">
        <v>13</v>
      </c>
      <c r="H50" s="506">
        <v>3</v>
      </c>
      <c r="I50" s="506">
        <v>1</v>
      </c>
      <c r="J50" s="506">
        <v>1</v>
      </c>
      <c r="K50" s="506">
        <v>1</v>
      </c>
    </row>
    <row r="51" spans="1:11" x14ac:dyDescent="0.25">
      <c r="A51" s="499">
        <v>43</v>
      </c>
      <c r="B51" s="499">
        <v>42</v>
      </c>
      <c r="C51" s="69" t="s">
        <v>122</v>
      </c>
      <c r="D51" s="30" t="s">
        <v>123</v>
      </c>
      <c r="E51" s="506">
        <v>915</v>
      </c>
      <c r="F51" s="506">
        <v>0</v>
      </c>
      <c r="G51" s="506">
        <v>0</v>
      </c>
      <c r="H51" s="506">
        <v>0</v>
      </c>
      <c r="I51" s="506">
        <v>0</v>
      </c>
      <c r="J51" s="506">
        <v>0</v>
      </c>
      <c r="K51" s="506">
        <v>0</v>
      </c>
    </row>
    <row r="52" spans="1:11" x14ac:dyDescent="0.25">
      <c r="A52" s="499"/>
      <c r="B52" s="499">
        <v>43</v>
      </c>
      <c r="C52" s="71" t="s">
        <v>124</v>
      </c>
      <c r="D52" s="30" t="s">
        <v>125</v>
      </c>
      <c r="E52" s="506">
        <v>1250</v>
      </c>
      <c r="F52" s="506">
        <v>42</v>
      </c>
      <c r="G52" s="506">
        <v>42</v>
      </c>
      <c r="H52" s="506">
        <v>12</v>
      </c>
      <c r="I52" s="506">
        <v>4</v>
      </c>
      <c r="J52" s="506">
        <v>4</v>
      </c>
      <c r="K52" s="506">
        <v>4</v>
      </c>
    </row>
    <row r="53" spans="1:11" x14ac:dyDescent="0.25">
      <c r="A53" s="499">
        <v>44</v>
      </c>
      <c r="B53" s="499">
        <v>44</v>
      </c>
      <c r="C53" s="69" t="s">
        <v>126</v>
      </c>
      <c r="D53" s="30" t="s">
        <v>127</v>
      </c>
      <c r="E53" s="506">
        <v>1464</v>
      </c>
      <c r="F53" s="506">
        <v>11</v>
      </c>
      <c r="G53" s="506">
        <v>11</v>
      </c>
      <c r="H53" s="506">
        <v>3</v>
      </c>
      <c r="I53" s="506">
        <v>1</v>
      </c>
      <c r="J53" s="506">
        <v>1</v>
      </c>
      <c r="K53" s="506">
        <v>1</v>
      </c>
    </row>
    <row r="54" spans="1:11" x14ac:dyDescent="0.25">
      <c r="A54" s="499">
        <v>45</v>
      </c>
      <c r="B54" s="499">
        <v>45</v>
      </c>
      <c r="C54" s="71" t="s">
        <v>128</v>
      </c>
      <c r="D54" s="30" t="s">
        <v>129</v>
      </c>
      <c r="E54" s="506">
        <v>1730</v>
      </c>
      <c r="F54" s="506">
        <v>0</v>
      </c>
      <c r="G54" s="506">
        <v>0</v>
      </c>
      <c r="H54" s="506">
        <v>0</v>
      </c>
      <c r="I54" s="506">
        <v>0</v>
      </c>
      <c r="J54" s="506">
        <v>0</v>
      </c>
      <c r="K54" s="506">
        <v>0</v>
      </c>
    </row>
    <row r="55" spans="1:11" x14ac:dyDescent="0.25">
      <c r="A55" s="499">
        <v>46</v>
      </c>
      <c r="B55" s="499">
        <v>46</v>
      </c>
      <c r="C55" s="69" t="s">
        <v>130</v>
      </c>
      <c r="D55" s="30" t="s">
        <v>131</v>
      </c>
      <c r="E55" s="506">
        <v>616</v>
      </c>
      <c r="F55" s="506">
        <v>0</v>
      </c>
      <c r="G55" s="506">
        <v>0</v>
      </c>
      <c r="H55" s="506">
        <v>0</v>
      </c>
      <c r="I55" s="506">
        <v>0</v>
      </c>
      <c r="J55" s="506">
        <v>0</v>
      </c>
      <c r="K55" s="506">
        <v>0</v>
      </c>
    </row>
    <row r="56" spans="1:11" x14ac:dyDescent="0.25">
      <c r="A56" s="499">
        <v>47</v>
      </c>
      <c r="B56" s="499">
        <v>47</v>
      </c>
      <c r="C56" s="71" t="s">
        <v>132</v>
      </c>
      <c r="D56" s="30" t="s">
        <v>133</v>
      </c>
      <c r="E56" s="506">
        <v>1127</v>
      </c>
      <c r="F56" s="506">
        <v>93</v>
      </c>
      <c r="G56" s="506">
        <v>93</v>
      </c>
      <c r="H56" s="506">
        <v>27</v>
      </c>
      <c r="I56" s="506">
        <v>9</v>
      </c>
      <c r="J56" s="506">
        <v>9</v>
      </c>
      <c r="K56" s="506">
        <v>9</v>
      </c>
    </row>
    <row r="57" spans="1:11" x14ac:dyDescent="0.25">
      <c r="A57" s="499">
        <v>48</v>
      </c>
      <c r="B57" s="499">
        <v>48</v>
      </c>
      <c r="C57" s="69" t="s">
        <v>134</v>
      </c>
      <c r="D57" s="30" t="s">
        <v>135</v>
      </c>
      <c r="E57" s="506">
        <v>1781</v>
      </c>
      <c r="F57" s="506">
        <v>12</v>
      </c>
      <c r="G57" s="506">
        <v>12</v>
      </c>
      <c r="H57" s="506">
        <v>3</v>
      </c>
      <c r="I57" s="506">
        <v>1</v>
      </c>
      <c r="J57" s="506">
        <v>1</v>
      </c>
      <c r="K57" s="506">
        <v>1</v>
      </c>
    </row>
    <row r="58" spans="1:11" x14ac:dyDescent="0.25">
      <c r="A58" s="499">
        <v>49</v>
      </c>
      <c r="B58" s="499">
        <v>49</v>
      </c>
      <c r="C58" s="69" t="s">
        <v>136</v>
      </c>
      <c r="D58" s="30" t="s">
        <v>137</v>
      </c>
      <c r="E58" s="506">
        <v>6089</v>
      </c>
      <c r="F58" s="506">
        <v>80</v>
      </c>
      <c r="G58" s="506">
        <v>80</v>
      </c>
      <c r="H58" s="506">
        <v>24</v>
      </c>
      <c r="I58" s="506">
        <v>8</v>
      </c>
      <c r="J58" s="506">
        <v>8</v>
      </c>
      <c r="K58" s="506">
        <v>8</v>
      </c>
    </row>
    <row r="59" spans="1:11" x14ac:dyDescent="0.25">
      <c r="A59" s="499"/>
      <c r="B59" s="499">
        <v>50</v>
      </c>
      <c r="C59" s="69" t="s">
        <v>138</v>
      </c>
      <c r="D59" s="30" t="s">
        <v>139</v>
      </c>
      <c r="E59" s="506">
        <v>1265</v>
      </c>
      <c r="F59" s="506">
        <v>2</v>
      </c>
      <c r="G59" s="506">
        <v>2</v>
      </c>
      <c r="H59" s="506">
        <v>0</v>
      </c>
      <c r="I59" s="506">
        <v>0</v>
      </c>
      <c r="J59" s="506">
        <v>0</v>
      </c>
      <c r="K59" s="506">
        <v>0</v>
      </c>
    </row>
    <row r="60" spans="1:11" x14ac:dyDescent="0.25">
      <c r="A60" s="499">
        <v>50</v>
      </c>
      <c r="B60" s="499">
        <v>51</v>
      </c>
      <c r="C60" s="69" t="s">
        <v>140</v>
      </c>
      <c r="D60" s="30" t="s">
        <v>141</v>
      </c>
      <c r="E60" s="506">
        <v>940</v>
      </c>
      <c r="F60" s="506">
        <v>3</v>
      </c>
      <c r="G60" s="506">
        <v>3</v>
      </c>
      <c r="H60" s="506">
        <v>0</v>
      </c>
      <c r="I60" s="506">
        <v>0</v>
      </c>
      <c r="J60" s="506">
        <v>0</v>
      </c>
      <c r="K60" s="506">
        <v>0</v>
      </c>
    </row>
    <row r="61" spans="1:11" x14ac:dyDescent="0.25">
      <c r="A61" s="499"/>
      <c r="B61" s="499">
        <v>52</v>
      </c>
      <c r="C61" s="71" t="s">
        <v>142</v>
      </c>
      <c r="D61" s="30" t="s">
        <v>143</v>
      </c>
      <c r="E61" s="506">
        <v>1014</v>
      </c>
      <c r="F61" s="506">
        <v>8</v>
      </c>
      <c r="G61" s="506">
        <v>8</v>
      </c>
      <c r="H61" s="506">
        <v>3</v>
      </c>
      <c r="I61" s="506">
        <v>1</v>
      </c>
      <c r="J61" s="506">
        <v>1</v>
      </c>
      <c r="K61" s="506">
        <v>1</v>
      </c>
    </row>
    <row r="62" spans="1:11" x14ac:dyDescent="0.25">
      <c r="A62" s="499">
        <v>51</v>
      </c>
      <c r="B62" s="499">
        <v>53</v>
      </c>
      <c r="C62" s="69" t="s">
        <v>144</v>
      </c>
      <c r="D62" s="30" t="s">
        <v>145</v>
      </c>
      <c r="E62" s="506">
        <v>0</v>
      </c>
      <c r="F62" s="506">
        <v>0</v>
      </c>
      <c r="G62" s="506">
        <v>0</v>
      </c>
      <c r="H62" s="506">
        <v>0</v>
      </c>
      <c r="I62" s="506">
        <v>0</v>
      </c>
      <c r="J62" s="506">
        <v>0</v>
      </c>
      <c r="K62" s="506">
        <v>0</v>
      </c>
    </row>
    <row r="63" spans="1:11" x14ac:dyDescent="0.25">
      <c r="A63" s="499">
        <v>52</v>
      </c>
      <c r="B63" s="499">
        <v>54</v>
      </c>
      <c r="C63" s="69" t="s">
        <v>146</v>
      </c>
      <c r="D63" s="30" t="s">
        <v>147</v>
      </c>
      <c r="E63" s="506">
        <v>0</v>
      </c>
      <c r="F63" s="506">
        <v>0</v>
      </c>
      <c r="G63" s="506">
        <v>0</v>
      </c>
      <c r="H63" s="506">
        <v>0</v>
      </c>
      <c r="I63" s="506">
        <v>0</v>
      </c>
      <c r="J63" s="506">
        <v>0</v>
      </c>
      <c r="K63" s="506">
        <v>0</v>
      </c>
    </row>
    <row r="64" spans="1:11" x14ac:dyDescent="0.25">
      <c r="A64" s="499">
        <v>53</v>
      </c>
      <c r="B64" s="499">
        <v>55</v>
      </c>
      <c r="C64" s="69" t="s">
        <v>148</v>
      </c>
      <c r="D64" s="30" t="s">
        <v>149</v>
      </c>
      <c r="E64" s="506">
        <v>0</v>
      </c>
      <c r="F64" s="506">
        <v>0</v>
      </c>
      <c r="G64" s="506">
        <v>0</v>
      </c>
      <c r="H64" s="506">
        <v>0</v>
      </c>
      <c r="I64" s="506">
        <v>0</v>
      </c>
      <c r="J64" s="506">
        <v>0</v>
      </c>
      <c r="K64" s="506">
        <v>0</v>
      </c>
    </row>
    <row r="65" spans="1:11" x14ac:dyDescent="0.25">
      <c r="A65" s="499">
        <v>54</v>
      </c>
      <c r="B65" s="499">
        <v>56</v>
      </c>
      <c r="C65" s="71" t="s">
        <v>150</v>
      </c>
      <c r="D65" s="30" t="s">
        <v>151</v>
      </c>
      <c r="E65" s="506">
        <v>0</v>
      </c>
      <c r="F65" s="506">
        <v>0</v>
      </c>
      <c r="G65" s="506">
        <v>0</v>
      </c>
      <c r="H65" s="506">
        <v>0</v>
      </c>
      <c r="I65" s="506">
        <v>0</v>
      </c>
      <c r="J65" s="506">
        <v>0</v>
      </c>
      <c r="K65" s="506">
        <v>0</v>
      </c>
    </row>
    <row r="66" spans="1:11" x14ac:dyDescent="0.25">
      <c r="A66" s="499">
        <v>55</v>
      </c>
      <c r="B66" s="499">
        <v>57</v>
      </c>
      <c r="C66" s="70" t="s">
        <v>152</v>
      </c>
      <c r="D66" s="30" t="s">
        <v>153</v>
      </c>
      <c r="E66" s="506">
        <v>0</v>
      </c>
      <c r="F66" s="506">
        <v>0</v>
      </c>
      <c r="G66" s="506">
        <v>0</v>
      </c>
      <c r="H66" s="506">
        <v>0</v>
      </c>
      <c r="I66" s="506">
        <v>0</v>
      </c>
      <c r="J66" s="506">
        <v>0</v>
      </c>
      <c r="K66" s="506">
        <v>0</v>
      </c>
    </row>
    <row r="67" spans="1:11" x14ac:dyDescent="0.25">
      <c r="A67" s="499">
        <v>56</v>
      </c>
      <c r="B67" s="499">
        <v>58</v>
      </c>
      <c r="C67" s="71" t="s">
        <v>154</v>
      </c>
      <c r="D67" s="30" t="s">
        <v>155</v>
      </c>
      <c r="E67" s="506">
        <v>0</v>
      </c>
      <c r="F67" s="506">
        <v>0</v>
      </c>
      <c r="G67" s="506">
        <v>0</v>
      </c>
      <c r="H67" s="506">
        <v>0</v>
      </c>
      <c r="I67" s="506">
        <v>0</v>
      </c>
      <c r="J67" s="506">
        <v>0</v>
      </c>
      <c r="K67" s="506">
        <v>0</v>
      </c>
    </row>
    <row r="68" spans="1:11" x14ac:dyDescent="0.25">
      <c r="A68" s="499">
        <v>57</v>
      </c>
      <c r="B68" s="499">
        <v>59</v>
      </c>
      <c r="C68" s="69" t="s">
        <v>156</v>
      </c>
      <c r="D68" s="30" t="s">
        <v>157</v>
      </c>
      <c r="E68" s="506">
        <v>0</v>
      </c>
      <c r="F68" s="506">
        <v>0</v>
      </c>
      <c r="G68" s="506">
        <v>0</v>
      </c>
      <c r="H68" s="506">
        <v>0</v>
      </c>
      <c r="I68" s="506">
        <v>0</v>
      </c>
      <c r="J68" s="506">
        <v>0</v>
      </c>
      <c r="K68" s="506">
        <v>0</v>
      </c>
    </row>
    <row r="69" spans="1:11" x14ac:dyDescent="0.25">
      <c r="A69" s="499">
        <v>58</v>
      </c>
      <c r="B69" s="499">
        <v>60</v>
      </c>
      <c r="C69" s="70" t="s">
        <v>158</v>
      </c>
      <c r="D69" s="30" t="s">
        <v>159</v>
      </c>
      <c r="E69" s="506">
        <v>0</v>
      </c>
      <c r="F69" s="506">
        <v>0</v>
      </c>
      <c r="G69" s="506">
        <v>0</v>
      </c>
      <c r="H69" s="506">
        <v>0</v>
      </c>
      <c r="I69" s="506">
        <v>0</v>
      </c>
      <c r="J69" s="506">
        <v>0</v>
      </c>
      <c r="K69" s="506">
        <v>0</v>
      </c>
    </row>
    <row r="70" spans="1:11" x14ac:dyDescent="0.25">
      <c r="A70" s="499">
        <v>59</v>
      </c>
      <c r="B70" s="499">
        <v>61</v>
      </c>
      <c r="C70" s="70" t="s">
        <v>160</v>
      </c>
      <c r="D70" s="30" t="s">
        <v>161</v>
      </c>
      <c r="E70" s="506">
        <v>0</v>
      </c>
      <c r="F70" s="506">
        <v>0</v>
      </c>
      <c r="G70" s="506">
        <v>0</v>
      </c>
      <c r="H70" s="506">
        <v>0</v>
      </c>
      <c r="I70" s="506">
        <v>0</v>
      </c>
      <c r="J70" s="506">
        <v>0</v>
      </c>
      <c r="K70" s="506">
        <v>0</v>
      </c>
    </row>
    <row r="71" spans="1:11" x14ac:dyDescent="0.25">
      <c r="A71" s="499">
        <v>60</v>
      </c>
      <c r="B71" s="499">
        <v>62</v>
      </c>
      <c r="C71" s="71" t="s">
        <v>162</v>
      </c>
      <c r="D71" s="30" t="s">
        <v>163</v>
      </c>
      <c r="E71" s="506">
        <v>5370</v>
      </c>
      <c r="F71" s="506">
        <v>46</v>
      </c>
      <c r="G71" s="506">
        <v>46</v>
      </c>
      <c r="H71" s="506">
        <v>15</v>
      </c>
      <c r="I71" s="506">
        <v>5</v>
      </c>
      <c r="J71" s="506">
        <v>5</v>
      </c>
      <c r="K71" s="506">
        <v>5</v>
      </c>
    </row>
    <row r="72" spans="1:11" x14ac:dyDescent="0.25">
      <c r="A72" s="499">
        <v>61</v>
      </c>
      <c r="B72" s="499">
        <v>63</v>
      </c>
      <c r="C72" s="71" t="s">
        <v>164</v>
      </c>
      <c r="D72" s="30" t="s">
        <v>165</v>
      </c>
      <c r="E72" s="506">
        <v>3110</v>
      </c>
      <c r="F72" s="506">
        <v>2234</v>
      </c>
      <c r="G72" s="506">
        <v>2234</v>
      </c>
      <c r="H72" s="506">
        <f>669-636</f>
        <v>33</v>
      </c>
      <c r="I72" s="506">
        <f>223-212</f>
        <v>11</v>
      </c>
      <c r="J72" s="506">
        <f>223-212</f>
        <v>11</v>
      </c>
      <c r="K72" s="506">
        <f>223-212</f>
        <v>11</v>
      </c>
    </row>
    <row r="73" spans="1:11" x14ac:dyDescent="0.25">
      <c r="A73" s="499">
        <v>62</v>
      </c>
      <c r="B73" s="499">
        <v>64</v>
      </c>
      <c r="C73" s="71" t="s">
        <v>166</v>
      </c>
      <c r="D73" s="30" t="s">
        <v>167</v>
      </c>
      <c r="E73" s="506">
        <v>7139</v>
      </c>
      <c r="F73" s="506">
        <v>0</v>
      </c>
      <c r="G73" s="506">
        <v>0</v>
      </c>
      <c r="H73" s="506">
        <v>0</v>
      </c>
      <c r="I73" s="506">
        <v>0</v>
      </c>
      <c r="J73" s="506">
        <v>0</v>
      </c>
      <c r="K73" s="506">
        <v>0</v>
      </c>
    </row>
    <row r="74" spans="1:11" x14ac:dyDescent="0.25">
      <c r="A74" s="499">
        <v>63</v>
      </c>
      <c r="B74" s="499">
        <v>65</v>
      </c>
      <c r="C74" s="71" t="s">
        <v>168</v>
      </c>
      <c r="D74" s="30" t="s">
        <v>169</v>
      </c>
      <c r="E74" s="506">
        <v>0</v>
      </c>
      <c r="F74" s="506">
        <v>0</v>
      </c>
      <c r="G74" s="506">
        <v>0</v>
      </c>
      <c r="H74" s="506">
        <v>0</v>
      </c>
      <c r="I74" s="506">
        <v>0</v>
      </c>
      <c r="J74" s="506">
        <v>0</v>
      </c>
      <c r="K74" s="506">
        <v>0</v>
      </c>
    </row>
    <row r="75" spans="1:11" x14ac:dyDescent="0.25">
      <c r="A75" s="499">
        <v>64</v>
      </c>
      <c r="B75" s="499">
        <v>66</v>
      </c>
      <c r="C75" s="70" t="s">
        <v>170</v>
      </c>
      <c r="D75" s="30" t="s">
        <v>171</v>
      </c>
      <c r="E75" s="506">
        <v>0</v>
      </c>
      <c r="F75" s="506">
        <v>0</v>
      </c>
      <c r="G75" s="506">
        <v>0</v>
      </c>
      <c r="H75" s="506">
        <v>0</v>
      </c>
      <c r="I75" s="506">
        <v>0</v>
      </c>
      <c r="J75" s="506">
        <v>0</v>
      </c>
      <c r="K75" s="506">
        <v>0</v>
      </c>
    </row>
    <row r="76" spans="1:11" x14ac:dyDescent="0.25">
      <c r="A76" s="499">
        <v>65</v>
      </c>
      <c r="B76" s="499">
        <v>67</v>
      </c>
      <c r="C76" s="71" t="s">
        <v>172</v>
      </c>
      <c r="D76" s="30" t="s">
        <v>173</v>
      </c>
      <c r="E76" s="506">
        <v>0</v>
      </c>
      <c r="F76" s="506">
        <v>0</v>
      </c>
      <c r="G76" s="506">
        <v>0</v>
      </c>
      <c r="H76" s="506">
        <v>0</v>
      </c>
      <c r="I76" s="506">
        <v>0</v>
      </c>
      <c r="J76" s="506">
        <v>0</v>
      </c>
      <c r="K76" s="506">
        <v>0</v>
      </c>
    </row>
    <row r="77" spans="1:11" x14ac:dyDescent="0.25">
      <c r="A77" s="499">
        <v>66</v>
      </c>
      <c r="B77" s="499">
        <v>68</v>
      </c>
      <c r="C77" s="71" t="s">
        <v>174</v>
      </c>
      <c r="D77" s="30" t="s">
        <v>175</v>
      </c>
      <c r="E77" s="506">
        <v>0</v>
      </c>
      <c r="F77" s="506">
        <v>0</v>
      </c>
      <c r="G77" s="506">
        <v>0</v>
      </c>
      <c r="H77" s="506">
        <v>0</v>
      </c>
      <c r="I77" s="506">
        <v>0</v>
      </c>
      <c r="J77" s="506">
        <v>0</v>
      </c>
      <c r="K77" s="506">
        <v>0</v>
      </c>
    </row>
    <row r="78" spans="1:11" x14ac:dyDescent="0.25">
      <c r="A78" s="499">
        <v>67</v>
      </c>
      <c r="B78" s="499">
        <v>69</v>
      </c>
      <c r="C78" s="70" t="s">
        <v>176</v>
      </c>
      <c r="D78" s="30" t="s">
        <v>177</v>
      </c>
      <c r="E78" s="506">
        <v>0</v>
      </c>
      <c r="F78" s="506">
        <v>0</v>
      </c>
      <c r="G78" s="506">
        <v>0</v>
      </c>
      <c r="H78" s="506">
        <v>0</v>
      </c>
      <c r="I78" s="506">
        <v>0</v>
      </c>
      <c r="J78" s="506">
        <v>0</v>
      </c>
      <c r="K78" s="506">
        <v>0</v>
      </c>
    </row>
    <row r="79" spans="1:11" x14ac:dyDescent="0.25">
      <c r="A79" s="499">
        <v>68</v>
      </c>
      <c r="B79" s="499">
        <v>70</v>
      </c>
      <c r="C79" s="70" t="s">
        <v>178</v>
      </c>
      <c r="D79" s="30" t="s">
        <v>179</v>
      </c>
      <c r="E79" s="506">
        <v>0</v>
      </c>
      <c r="F79" s="506">
        <v>0</v>
      </c>
      <c r="G79" s="506">
        <v>0</v>
      </c>
      <c r="H79" s="506">
        <v>0</v>
      </c>
      <c r="I79" s="506">
        <v>0</v>
      </c>
      <c r="J79" s="506">
        <v>0</v>
      </c>
      <c r="K79" s="506">
        <v>0</v>
      </c>
    </row>
    <row r="80" spans="1:11" x14ac:dyDescent="0.25">
      <c r="A80" s="499">
        <v>69</v>
      </c>
      <c r="B80" s="499">
        <v>71</v>
      </c>
      <c r="C80" s="70" t="s">
        <v>180</v>
      </c>
      <c r="D80" s="30" t="s">
        <v>181</v>
      </c>
      <c r="E80" s="506">
        <v>0</v>
      </c>
      <c r="F80" s="506">
        <v>0</v>
      </c>
      <c r="G80" s="506">
        <v>0</v>
      </c>
      <c r="H80" s="506">
        <v>0</v>
      </c>
      <c r="I80" s="506">
        <v>0</v>
      </c>
      <c r="J80" s="506">
        <v>0</v>
      </c>
      <c r="K80" s="506">
        <v>0</v>
      </c>
    </row>
    <row r="81" spans="1:11" x14ac:dyDescent="0.25">
      <c r="A81" s="499">
        <v>70</v>
      </c>
      <c r="B81" s="499">
        <v>72</v>
      </c>
      <c r="C81" s="69" t="s">
        <v>182</v>
      </c>
      <c r="D81" s="30" t="s">
        <v>183</v>
      </c>
      <c r="E81" s="506">
        <v>4166</v>
      </c>
      <c r="F81" s="506">
        <v>139</v>
      </c>
      <c r="G81" s="506">
        <v>139</v>
      </c>
      <c r="H81" s="506">
        <v>42</v>
      </c>
      <c r="I81" s="506">
        <v>14</v>
      </c>
      <c r="J81" s="506">
        <v>14</v>
      </c>
      <c r="K81" s="506">
        <v>14</v>
      </c>
    </row>
    <row r="82" spans="1:11" x14ac:dyDescent="0.25">
      <c r="A82" s="499">
        <v>71</v>
      </c>
      <c r="B82" s="499">
        <v>73</v>
      </c>
      <c r="C82" s="70" t="s">
        <v>184</v>
      </c>
      <c r="D82" s="30" t="s">
        <v>185</v>
      </c>
      <c r="E82" s="506">
        <v>10046</v>
      </c>
      <c r="F82" s="506">
        <v>13</v>
      </c>
      <c r="G82" s="506">
        <v>13</v>
      </c>
      <c r="H82" s="506">
        <v>3</v>
      </c>
      <c r="I82" s="506">
        <v>1</v>
      </c>
      <c r="J82" s="506">
        <v>1</v>
      </c>
      <c r="K82" s="506">
        <v>1</v>
      </c>
    </row>
    <row r="83" spans="1:11" x14ac:dyDescent="0.25">
      <c r="A83" s="499">
        <v>72</v>
      </c>
      <c r="B83" s="499">
        <v>74</v>
      </c>
      <c r="C83" s="69" t="s">
        <v>186</v>
      </c>
      <c r="D83" s="30" t="s">
        <v>187</v>
      </c>
      <c r="E83" s="506">
        <v>5464</v>
      </c>
      <c r="F83" s="506">
        <v>66</v>
      </c>
      <c r="G83" s="506">
        <v>66</v>
      </c>
      <c r="H83" s="506">
        <v>21</v>
      </c>
      <c r="I83" s="506">
        <v>7</v>
      </c>
      <c r="J83" s="506">
        <v>7</v>
      </c>
      <c r="K83" s="506">
        <v>7</v>
      </c>
    </row>
    <row r="84" spans="1:11" x14ac:dyDescent="0.25">
      <c r="A84" s="499">
        <v>73</v>
      </c>
      <c r="B84" s="499">
        <v>75</v>
      </c>
      <c r="C84" s="70" t="s">
        <v>188</v>
      </c>
      <c r="D84" s="30" t="s">
        <v>189</v>
      </c>
      <c r="E84" s="506">
        <v>3708</v>
      </c>
      <c r="F84" s="506">
        <v>125</v>
      </c>
      <c r="G84" s="506">
        <v>125</v>
      </c>
      <c r="H84" s="506">
        <v>39</v>
      </c>
      <c r="I84" s="506">
        <v>13</v>
      </c>
      <c r="J84" s="506">
        <v>13</v>
      </c>
      <c r="K84" s="506">
        <v>13</v>
      </c>
    </row>
    <row r="85" spans="1:11" x14ac:dyDescent="0.25">
      <c r="A85" s="499">
        <v>74</v>
      </c>
      <c r="B85" s="499">
        <v>76</v>
      </c>
      <c r="C85" s="70" t="s">
        <v>190</v>
      </c>
      <c r="D85" s="30" t="s">
        <v>191</v>
      </c>
      <c r="E85" s="506">
        <v>9254</v>
      </c>
      <c r="F85" s="506">
        <v>777</v>
      </c>
      <c r="G85" s="506">
        <v>777</v>
      </c>
      <c r="H85" s="506">
        <v>234</v>
      </c>
      <c r="I85" s="506">
        <v>78</v>
      </c>
      <c r="J85" s="506">
        <v>78</v>
      </c>
      <c r="K85" s="506">
        <v>78</v>
      </c>
    </row>
    <row r="86" spans="1:11" x14ac:dyDescent="0.25">
      <c r="A86" s="499">
        <v>75</v>
      </c>
      <c r="B86" s="499">
        <v>77</v>
      </c>
      <c r="C86" s="70" t="s">
        <v>192</v>
      </c>
      <c r="D86" s="30" t="s">
        <v>193</v>
      </c>
      <c r="E86" s="506">
        <v>0</v>
      </c>
      <c r="F86" s="506">
        <v>0</v>
      </c>
      <c r="G86" s="506">
        <v>0</v>
      </c>
      <c r="H86" s="506">
        <v>0</v>
      </c>
      <c r="I86" s="506">
        <v>0</v>
      </c>
      <c r="J86" s="506">
        <v>0</v>
      </c>
      <c r="K86" s="506">
        <v>0</v>
      </c>
    </row>
    <row r="87" spans="1:11" x14ac:dyDescent="0.25">
      <c r="A87" s="499">
        <v>76</v>
      </c>
      <c r="B87" s="499">
        <v>78</v>
      </c>
      <c r="C87" s="70" t="s">
        <v>194</v>
      </c>
      <c r="D87" s="30" t="s">
        <v>195</v>
      </c>
      <c r="E87" s="506">
        <v>7446</v>
      </c>
      <c r="F87" s="506">
        <v>9</v>
      </c>
      <c r="G87" s="506">
        <v>9</v>
      </c>
      <c r="H87" s="506">
        <v>3</v>
      </c>
      <c r="I87" s="506">
        <v>1</v>
      </c>
      <c r="J87" s="506">
        <v>1</v>
      </c>
      <c r="K87" s="506">
        <v>1</v>
      </c>
    </row>
    <row r="88" spans="1:11" x14ac:dyDescent="0.25">
      <c r="A88" s="499">
        <v>77</v>
      </c>
      <c r="B88" s="499">
        <v>79</v>
      </c>
      <c r="C88" s="70" t="s">
        <v>196</v>
      </c>
      <c r="D88" s="30" t="s">
        <v>197</v>
      </c>
      <c r="E88" s="506">
        <v>0</v>
      </c>
      <c r="F88" s="506">
        <v>0</v>
      </c>
      <c r="G88" s="506">
        <v>0</v>
      </c>
      <c r="H88" s="506">
        <v>0</v>
      </c>
      <c r="I88" s="506">
        <v>0</v>
      </c>
      <c r="J88" s="506">
        <v>0</v>
      </c>
      <c r="K88" s="506">
        <v>0</v>
      </c>
    </row>
    <row r="89" spans="1:11" x14ac:dyDescent="0.25">
      <c r="A89" s="499">
        <v>78</v>
      </c>
      <c r="B89" s="499">
        <v>80</v>
      </c>
      <c r="C89" s="71" t="s">
        <v>30</v>
      </c>
      <c r="D89" s="30" t="s">
        <v>198</v>
      </c>
      <c r="E89" s="506">
        <v>0</v>
      </c>
      <c r="F89" s="506">
        <v>0</v>
      </c>
      <c r="G89" s="506">
        <v>0</v>
      </c>
      <c r="H89" s="506">
        <v>0</v>
      </c>
      <c r="I89" s="506">
        <v>0</v>
      </c>
      <c r="J89" s="506">
        <v>0</v>
      </c>
      <c r="K89" s="506">
        <v>0</v>
      </c>
    </row>
    <row r="90" spans="1:11" x14ac:dyDescent="0.25">
      <c r="A90" s="946">
        <v>79</v>
      </c>
      <c r="B90" s="947">
        <v>81</v>
      </c>
      <c r="C90" s="950" t="s">
        <v>199</v>
      </c>
      <c r="D90" s="144" t="s">
        <v>200</v>
      </c>
      <c r="E90" s="506">
        <v>403</v>
      </c>
      <c r="F90" s="506">
        <v>0</v>
      </c>
      <c r="G90" s="506">
        <v>0</v>
      </c>
      <c r="H90" s="506">
        <v>0</v>
      </c>
      <c r="I90" s="506">
        <v>0</v>
      </c>
      <c r="J90" s="506">
        <v>0</v>
      </c>
      <c r="K90" s="506">
        <v>0</v>
      </c>
    </row>
    <row r="91" spans="1:11" ht="24" x14ac:dyDescent="0.25">
      <c r="A91" s="946"/>
      <c r="B91" s="948"/>
      <c r="C91" s="950"/>
      <c r="D91" s="30" t="s">
        <v>201</v>
      </c>
      <c r="E91" s="506">
        <v>403</v>
      </c>
      <c r="F91" s="506">
        <v>0</v>
      </c>
      <c r="G91" s="506">
        <v>0</v>
      </c>
      <c r="H91" s="506">
        <v>0</v>
      </c>
      <c r="I91" s="506">
        <v>0</v>
      </c>
      <c r="J91" s="506">
        <v>0</v>
      </c>
      <c r="K91" s="506">
        <v>0</v>
      </c>
    </row>
    <row r="92" spans="1:11" x14ac:dyDescent="0.25">
      <c r="A92" s="946"/>
      <c r="B92" s="948"/>
      <c r="C92" s="950"/>
      <c r="D92" s="30" t="s">
        <v>202</v>
      </c>
      <c r="E92" s="506">
        <v>0</v>
      </c>
      <c r="F92" s="506">
        <v>0</v>
      </c>
      <c r="G92" s="506">
        <v>0</v>
      </c>
      <c r="H92" s="506">
        <v>0</v>
      </c>
      <c r="I92" s="506">
        <v>0</v>
      </c>
      <c r="J92" s="506">
        <v>0</v>
      </c>
      <c r="K92" s="506">
        <v>0</v>
      </c>
    </row>
    <row r="93" spans="1:11" ht="24" x14ac:dyDescent="0.25">
      <c r="A93" s="946"/>
      <c r="B93" s="949"/>
      <c r="C93" s="950"/>
      <c r="D93" s="118" t="s">
        <v>203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</row>
    <row r="94" spans="1:11" x14ac:dyDescent="0.25">
      <c r="A94" s="499">
        <v>80</v>
      </c>
      <c r="B94" s="499">
        <v>82</v>
      </c>
      <c r="C94" s="71" t="s">
        <v>204</v>
      </c>
      <c r="D94" s="30" t="s">
        <v>205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</row>
    <row r="95" spans="1:11" x14ac:dyDescent="0.25">
      <c r="A95" s="499">
        <v>81</v>
      </c>
      <c r="B95" s="499">
        <v>83</v>
      </c>
      <c r="C95" s="71" t="s">
        <v>206</v>
      </c>
      <c r="D95" s="30" t="s">
        <v>207</v>
      </c>
      <c r="E95" s="506">
        <v>319</v>
      </c>
      <c r="F95" s="506">
        <v>0</v>
      </c>
      <c r="G95" s="506">
        <v>0</v>
      </c>
      <c r="H95" s="506">
        <v>0</v>
      </c>
      <c r="I95" s="506">
        <v>0</v>
      </c>
      <c r="J95" s="506">
        <v>0</v>
      </c>
      <c r="K95" s="506">
        <v>0</v>
      </c>
    </row>
    <row r="96" spans="1:11" x14ac:dyDescent="0.25">
      <c r="A96" s="499">
        <v>82</v>
      </c>
      <c r="B96" s="499">
        <v>84</v>
      </c>
      <c r="C96" s="69" t="s">
        <v>208</v>
      </c>
      <c r="D96" s="30" t="s">
        <v>209</v>
      </c>
      <c r="E96" s="506">
        <v>1988</v>
      </c>
      <c r="F96" s="506">
        <v>720</v>
      </c>
      <c r="G96" s="506">
        <v>720</v>
      </c>
      <c r="H96" s="506">
        <v>216</v>
      </c>
      <c r="I96" s="506">
        <v>72</v>
      </c>
      <c r="J96" s="506">
        <v>72</v>
      </c>
      <c r="K96" s="506">
        <v>72</v>
      </c>
    </row>
    <row r="97" spans="1:11" x14ac:dyDescent="0.25">
      <c r="A97" s="499">
        <v>83</v>
      </c>
      <c r="B97" s="499">
        <v>85</v>
      </c>
      <c r="C97" s="71" t="s">
        <v>210</v>
      </c>
      <c r="D97" s="30" t="s">
        <v>211</v>
      </c>
      <c r="E97" s="506">
        <v>775</v>
      </c>
      <c r="F97" s="506">
        <v>7</v>
      </c>
      <c r="G97" s="506">
        <v>7</v>
      </c>
      <c r="H97" s="506">
        <v>3</v>
      </c>
      <c r="I97" s="506">
        <v>1</v>
      </c>
      <c r="J97" s="506">
        <v>1</v>
      </c>
      <c r="K97" s="506">
        <v>1</v>
      </c>
    </row>
    <row r="98" spans="1:11" x14ac:dyDescent="0.25">
      <c r="A98" s="499">
        <v>84</v>
      </c>
      <c r="B98" s="499">
        <v>86</v>
      </c>
      <c r="C98" s="69" t="s">
        <v>212</v>
      </c>
      <c r="D98" s="30" t="s">
        <v>213</v>
      </c>
      <c r="E98" s="506">
        <v>812</v>
      </c>
      <c r="F98" s="506">
        <v>56</v>
      </c>
      <c r="G98" s="506">
        <v>56</v>
      </c>
      <c r="H98" s="506">
        <v>18</v>
      </c>
      <c r="I98" s="506">
        <v>6</v>
      </c>
      <c r="J98" s="506">
        <v>6</v>
      </c>
      <c r="K98" s="506">
        <v>6</v>
      </c>
    </row>
    <row r="99" spans="1:11" x14ac:dyDescent="0.25">
      <c r="A99" s="499">
        <v>85</v>
      </c>
      <c r="B99" s="499">
        <v>87</v>
      </c>
      <c r="C99" s="69" t="s">
        <v>214</v>
      </c>
      <c r="D99" s="30" t="s">
        <v>215</v>
      </c>
      <c r="E99" s="506">
        <v>2275</v>
      </c>
      <c r="F99" s="506">
        <v>190</v>
      </c>
      <c r="G99" s="506">
        <v>190</v>
      </c>
      <c r="H99" s="506">
        <v>57</v>
      </c>
      <c r="I99" s="506">
        <v>19</v>
      </c>
      <c r="J99" s="506">
        <v>19</v>
      </c>
      <c r="K99" s="506">
        <v>19</v>
      </c>
    </row>
    <row r="100" spans="1:11" x14ac:dyDescent="0.25">
      <c r="A100" s="499">
        <v>86</v>
      </c>
      <c r="B100" s="499">
        <v>88</v>
      </c>
      <c r="C100" s="71" t="s">
        <v>216</v>
      </c>
      <c r="D100" s="30" t="s">
        <v>217</v>
      </c>
      <c r="E100" s="506">
        <v>958</v>
      </c>
      <c r="F100" s="506">
        <v>325</v>
      </c>
      <c r="G100" s="506">
        <v>325</v>
      </c>
      <c r="H100" s="506">
        <v>99</v>
      </c>
      <c r="I100" s="506">
        <v>33</v>
      </c>
      <c r="J100" s="506">
        <v>33</v>
      </c>
      <c r="K100" s="506">
        <v>33</v>
      </c>
    </row>
    <row r="101" spans="1:11" x14ac:dyDescent="0.25">
      <c r="A101" s="499">
        <v>88</v>
      </c>
      <c r="B101" s="499">
        <v>89</v>
      </c>
      <c r="C101" s="70" t="s">
        <v>218</v>
      </c>
      <c r="D101" s="30" t="s">
        <v>219</v>
      </c>
      <c r="E101" s="506">
        <v>2786</v>
      </c>
      <c r="F101" s="506">
        <v>23</v>
      </c>
      <c r="G101" s="506">
        <v>23</v>
      </c>
      <c r="H101" s="506">
        <v>6</v>
      </c>
      <c r="I101" s="506">
        <v>2</v>
      </c>
      <c r="J101" s="506">
        <v>2</v>
      </c>
      <c r="K101" s="506">
        <v>2</v>
      </c>
    </row>
    <row r="102" spans="1:11" x14ac:dyDescent="0.25">
      <c r="A102" s="499">
        <v>89</v>
      </c>
      <c r="B102" s="499">
        <v>90</v>
      </c>
      <c r="C102" s="70" t="s">
        <v>220</v>
      </c>
      <c r="D102" s="30" t="s">
        <v>221</v>
      </c>
      <c r="E102" s="506">
        <v>2146</v>
      </c>
      <c r="F102" s="506">
        <v>0</v>
      </c>
      <c r="G102" s="506">
        <v>0</v>
      </c>
      <c r="H102" s="506">
        <v>0</v>
      </c>
      <c r="I102" s="506">
        <v>0</v>
      </c>
      <c r="J102" s="506">
        <v>0</v>
      </c>
      <c r="K102" s="506">
        <v>0</v>
      </c>
    </row>
    <row r="103" spans="1:11" x14ac:dyDescent="0.25">
      <c r="A103" s="499">
        <v>90</v>
      </c>
      <c r="B103" s="499">
        <v>91</v>
      </c>
      <c r="C103" s="69" t="s">
        <v>222</v>
      </c>
      <c r="D103" s="30" t="s">
        <v>223</v>
      </c>
      <c r="E103" s="506">
        <v>735</v>
      </c>
      <c r="F103" s="506">
        <v>3</v>
      </c>
      <c r="G103" s="506">
        <v>3</v>
      </c>
      <c r="H103" s="506">
        <v>0</v>
      </c>
      <c r="I103" s="506">
        <v>0</v>
      </c>
      <c r="J103" s="506">
        <v>0</v>
      </c>
      <c r="K103" s="506">
        <v>0</v>
      </c>
    </row>
    <row r="104" spans="1:11" x14ac:dyDescent="0.25">
      <c r="A104" s="499">
        <v>91</v>
      </c>
      <c r="B104" s="499">
        <v>92</v>
      </c>
      <c r="C104" s="70" t="s">
        <v>224</v>
      </c>
      <c r="D104" s="30" t="s">
        <v>225</v>
      </c>
      <c r="E104" s="506">
        <v>1153</v>
      </c>
      <c r="F104" s="506">
        <v>4</v>
      </c>
      <c r="G104" s="506">
        <v>4</v>
      </c>
      <c r="H104" s="506">
        <v>0</v>
      </c>
      <c r="I104" s="506">
        <v>0</v>
      </c>
      <c r="J104" s="506">
        <v>0</v>
      </c>
      <c r="K104" s="506">
        <v>0</v>
      </c>
    </row>
    <row r="105" spans="1:11" x14ac:dyDescent="0.25">
      <c r="A105" s="499">
        <v>92</v>
      </c>
      <c r="B105" s="499">
        <v>93</v>
      </c>
      <c r="C105" s="70" t="s">
        <v>226</v>
      </c>
      <c r="D105" s="30" t="s">
        <v>227</v>
      </c>
      <c r="E105" s="506">
        <v>1089</v>
      </c>
      <c r="F105" s="506">
        <v>5</v>
      </c>
      <c r="G105" s="506">
        <v>5</v>
      </c>
      <c r="H105" s="506">
        <v>3</v>
      </c>
      <c r="I105" s="506">
        <v>1</v>
      </c>
      <c r="J105" s="506">
        <v>1</v>
      </c>
      <c r="K105" s="506">
        <v>1</v>
      </c>
    </row>
    <row r="106" spans="1:11" x14ac:dyDescent="0.25">
      <c r="A106" s="499">
        <v>93</v>
      </c>
      <c r="B106" s="499">
        <v>94</v>
      </c>
      <c r="C106" s="71" t="s">
        <v>32</v>
      </c>
      <c r="D106" s="30" t="s">
        <v>33</v>
      </c>
      <c r="E106" s="506">
        <v>1318</v>
      </c>
      <c r="F106" s="506">
        <v>0</v>
      </c>
      <c r="G106" s="506">
        <v>0</v>
      </c>
      <c r="H106" s="506">
        <v>0</v>
      </c>
      <c r="I106" s="506">
        <v>0</v>
      </c>
      <c r="J106" s="506">
        <v>0</v>
      </c>
      <c r="K106" s="506">
        <v>0</v>
      </c>
    </row>
    <row r="107" spans="1:11" x14ac:dyDescent="0.25">
      <c r="A107" s="499">
        <v>94</v>
      </c>
      <c r="B107" s="499">
        <v>95</v>
      </c>
      <c r="C107" s="69" t="s">
        <v>228</v>
      </c>
      <c r="D107" s="30" t="s">
        <v>229</v>
      </c>
      <c r="E107" s="506">
        <v>844</v>
      </c>
      <c r="F107" s="506">
        <v>9</v>
      </c>
      <c r="G107" s="506">
        <v>9</v>
      </c>
      <c r="H107" s="506">
        <v>3</v>
      </c>
      <c r="I107" s="506">
        <v>1</v>
      </c>
      <c r="J107" s="506">
        <v>1</v>
      </c>
      <c r="K107" s="506">
        <v>1</v>
      </c>
    </row>
    <row r="108" spans="1:11" x14ac:dyDescent="0.25">
      <c r="A108" s="499">
        <v>96</v>
      </c>
      <c r="B108" s="499">
        <v>96</v>
      </c>
      <c r="C108" s="70" t="s">
        <v>230</v>
      </c>
      <c r="D108" s="30" t="s">
        <v>231</v>
      </c>
      <c r="E108" s="506">
        <v>2232</v>
      </c>
      <c r="F108" s="506">
        <v>18</v>
      </c>
      <c r="G108" s="506">
        <v>18</v>
      </c>
      <c r="H108" s="506">
        <v>6</v>
      </c>
      <c r="I108" s="506">
        <v>2</v>
      </c>
      <c r="J108" s="506">
        <v>2</v>
      </c>
      <c r="K108" s="506">
        <v>2</v>
      </c>
    </row>
    <row r="109" spans="1:11" x14ac:dyDescent="0.25">
      <c r="A109" s="499">
        <v>98</v>
      </c>
      <c r="B109" s="499">
        <v>97</v>
      </c>
      <c r="C109" s="70" t="s">
        <v>232</v>
      </c>
      <c r="D109" s="30" t="s">
        <v>233</v>
      </c>
      <c r="E109" s="506">
        <v>0</v>
      </c>
      <c r="F109" s="506">
        <v>0</v>
      </c>
      <c r="G109" s="506">
        <v>0</v>
      </c>
      <c r="H109" s="506">
        <v>0</v>
      </c>
      <c r="I109" s="506">
        <v>0</v>
      </c>
      <c r="J109" s="506">
        <v>0</v>
      </c>
      <c r="K109" s="506">
        <v>0</v>
      </c>
    </row>
    <row r="110" spans="1:11" x14ac:dyDescent="0.25">
      <c r="A110" s="499">
        <v>99</v>
      </c>
      <c r="B110" s="499">
        <v>98</v>
      </c>
      <c r="C110" s="70" t="s">
        <v>234</v>
      </c>
      <c r="D110" s="30" t="s">
        <v>235</v>
      </c>
      <c r="E110" s="506">
        <v>0</v>
      </c>
      <c r="F110" s="506">
        <v>0</v>
      </c>
      <c r="G110" s="506">
        <v>0</v>
      </c>
      <c r="H110" s="506">
        <v>0</v>
      </c>
      <c r="I110" s="506">
        <v>0</v>
      </c>
      <c r="J110" s="506">
        <v>0</v>
      </c>
      <c r="K110" s="506">
        <v>0</v>
      </c>
    </row>
    <row r="111" spans="1:11" x14ac:dyDescent="0.25">
      <c r="A111" s="499">
        <v>100</v>
      </c>
      <c r="B111" s="499">
        <v>99</v>
      </c>
      <c r="C111" s="69" t="s">
        <v>236</v>
      </c>
      <c r="D111" s="30" t="s">
        <v>237</v>
      </c>
      <c r="E111" s="506">
        <v>0</v>
      </c>
      <c r="F111" s="506">
        <v>0</v>
      </c>
      <c r="G111" s="506">
        <v>0</v>
      </c>
      <c r="H111" s="506">
        <v>0</v>
      </c>
      <c r="I111" s="506">
        <v>0</v>
      </c>
      <c r="J111" s="506">
        <v>0</v>
      </c>
      <c r="K111" s="506">
        <v>0</v>
      </c>
    </row>
    <row r="112" spans="1:11" x14ac:dyDescent="0.25">
      <c r="A112" s="499">
        <v>101</v>
      </c>
      <c r="B112" s="499">
        <v>100</v>
      </c>
      <c r="C112" s="69" t="s">
        <v>238</v>
      </c>
      <c r="D112" s="30" t="s">
        <v>239</v>
      </c>
      <c r="E112" s="506">
        <v>0</v>
      </c>
      <c r="F112" s="506">
        <v>0</v>
      </c>
      <c r="G112" s="506">
        <v>0</v>
      </c>
      <c r="H112" s="506">
        <v>0</v>
      </c>
      <c r="I112" s="506">
        <v>0</v>
      </c>
      <c r="J112" s="506">
        <v>0</v>
      </c>
      <c r="K112" s="506">
        <v>0</v>
      </c>
    </row>
    <row r="113" spans="1:11" x14ac:dyDescent="0.25">
      <c r="A113" s="499">
        <v>102</v>
      </c>
      <c r="B113" s="499">
        <v>101</v>
      </c>
      <c r="C113" s="69" t="s">
        <v>240</v>
      </c>
      <c r="D113" s="30" t="s">
        <v>241</v>
      </c>
      <c r="E113" s="506">
        <v>0</v>
      </c>
      <c r="F113" s="506">
        <v>0</v>
      </c>
      <c r="G113" s="506">
        <v>0</v>
      </c>
      <c r="H113" s="506">
        <v>0</v>
      </c>
      <c r="I113" s="506">
        <v>0</v>
      </c>
      <c r="J113" s="506">
        <v>0</v>
      </c>
      <c r="K113" s="506">
        <v>0</v>
      </c>
    </row>
    <row r="114" spans="1:11" x14ac:dyDescent="0.25">
      <c r="A114" s="499">
        <v>103</v>
      </c>
      <c r="B114" s="499">
        <v>102</v>
      </c>
      <c r="C114" s="69" t="s">
        <v>242</v>
      </c>
      <c r="D114" s="30" t="s">
        <v>243</v>
      </c>
      <c r="E114" s="506">
        <v>0</v>
      </c>
      <c r="F114" s="506">
        <v>0</v>
      </c>
      <c r="G114" s="506">
        <v>0</v>
      </c>
      <c r="H114" s="506">
        <v>0</v>
      </c>
      <c r="I114" s="506">
        <v>0</v>
      </c>
      <c r="J114" s="506">
        <v>0</v>
      </c>
      <c r="K114" s="506">
        <v>0</v>
      </c>
    </row>
    <row r="115" spans="1:11" x14ac:dyDescent="0.25">
      <c r="A115" s="499">
        <v>104</v>
      </c>
      <c r="B115" s="499">
        <v>103</v>
      </c>
      <c r="C115" s="69" t="s">
        <v>244</v>
      </c>
      <c r="D115" s="30" t="s">
        <v>245</v>
      </c>
      <c r="E115" s="506">
        <v>0</v>
      </c>
      <c r="F115" s="506">
        <v>0</v>
      </c>
      <c r="G115" s="506">
        <v>0</v>
      </c>
      <c r="H115" s="506">
        <v>0</v>
      </c>
      <c r="I115" s="506">
        <v>0</v>
      </c>
      <c r="J115" s="506">
        <v>0</v>
      </c>
      <c r="K115" s="506">
        <v>0</v>
      </c>
    </row>
    <row r="116" spans="1:11" x14ac:dyDescent="0.25">
      <c r="A116" s="499">
        <v>105</v>
      </c>
      <c r="B116" s="499">
        <v>104</v>
      </c>
      <c r="C116" s="510" t="s">
        <v>246</v>
      </c>
      <c r="D116" s="509" t="s">
        <v>247</v>
      </c>
      <c r="E116" s="506">
        <v>0</v>
      </c>
      <c r="F116" s="506">
        <v>0</v>
      </c>
      <c r="G116" s="506">
        <v>0</v>
      </c>
      <c r="H116" s="506">
        <v>0</v>
      </c>
      <c r="I116" s="506">
        <v>0</v>
      </c>
      <c r="J116" s="506">
        <v>0</v>
      </c>
      <c r="K116" s="506">
        <v>0</v>
      </c>
    </row>
    <row r="117" spans="1:11" x14ac:dyDescent="0.25">
      <c r="A117" s="499">
        <v>106</v>
      </c>
      <c r="B117" s="499">
        <v>105</v>
      </c>
      <c r="C117" s="71" t="s">
        <v>248</v>
      </c>
      <c r="D117" s="30" t="s">
        <v>249</v>
      </c>
      <c r="E117" s="506">
        <v>0</v>
      </c>
      <c r="F117" s="506">
        <v>0</v>
      </c>
      <c r="G117" s="506">
        <v>0</v>
      </c>
      <c r="H117" s="506">
        <v>0</v>
      </c>
      <c r="I117" s="506">
        <v>0</v>
      </c>
      <c r="J117" s="506">
        <v>0</v>
      </c>
      <c r="K117" s="506">
        <v>0</v>
      </c>
    </row>
    <row r="118" spans="1:11" x14ac:dyDescent="0.25">
      <c r="A118" s="499">
        <v>107</v>
      </c>
      <c r="B118" s="499">
        <v>106</v>
      </c>
      <c r="C118" s="69" t="s">
        <v>250</v>
      </c>
      <c r="D118" s="30" t="s">
        <v>251</v>
      </c>
      <c r="E118" s="506">
        <v>0</v>
      </c>
      <c r="F118" s="506">
        <v>0</v>
      </c>
      <c r="G118" s="506">
        <v>0</v>
      </c>
      <c r="H118" s="506">
        <v>0</v>
      </c>
      <c r="I118" s="506">
        <v>0</v>
      </c>
      <c r="J118" s="506">
        <v>0</v>
      </c>
      <c r="K118" s="506">
        <v>0</v>
      </c>
    </row>
    <row r="119" spans="1:11" x14ac:dyDescent="0.25">
      <c r="A119" s="499">
        <v>108</v>
      </c>
      <c r="B119" s="499">
        <v>107</v>
      </c>
      <c r="C119" s="70" t="s">
        <v>252</v>
      </c>
      <c r="D119" s="119" t="s">
        <v>253</v>
      </c>
      <c r="E119" s="506">
        <v>0</v>
      </c>
      <c r="F119" s="506">
        <v>0</v>
      </c>
      <c r="G119" s="506">
        <v>0</v>
      </c>
      <c r="H119" s="506">
        <v>0</v>
      </c>
      <c r="I119" s="506">
        <v>0</v>
      </c>
      <c r="J119" s="506">
        <v>0</v>
      </c>
      <c r="K119" s="506">
        <v>0</v>
      </c>
    </row>
    <row r="120" spans="1:11" x14ac:dyDescent="0.25">
      <c r="A120" s="499">
        <v>109</v>
      </c>
      <c r="B120" s="499">
        <v>108</v>
      </c>
      <c r="C120" s="69" t="s">
        <v>254</v>
      </c>
      <c r="D120" s="30" t="s">
        <v>255</v>
      </c>
      <c r="E120" s="506">
        <v>0</v>
      </c>
      <c r="F120" s="506">
        <v>0</v>
      </c>
      <c r="G120" s="506">
        <v>0</v>
      </c>
      <c r="H120" s="506">
        <v>0</v>
      </c>
      <c r="I120" s="506">
        <v>0</v>
      </c>
      <c r="J120" s="506">
        <v>0</v>
      </c>
      <c r="K120" s="506">
        <v>0</v>
      </c>
    </row>
    <row r="121" spans="1:11" x14ac:dyDescent="0.25">
      <c r="A121" s="499">
        <v>110</v>
      </c>
      <c r="B121" s="499">
        <v>109</v>
      </c>
      <c r="C121" s="71" t="s">
        <v>256</v>
      </c>
      <c r="D121" s="30" t="s">
        <v>257</v>
      </c>
      <c r="E121" s="506">
        <v>0</v>
      </c>
      <c r="F121" s="506">
        <v>0</v>
      </c>
      <c r="G121" s="506">
        <v>0</v>
      </c>
      <c r="H121" s="506">
        <v>0</v>
      </c>
      <c r="I121" s="506">
        <v>0</v>
      </c>
      <c r="J121" s="506">
        <v>0</v>
      </c>
      <c r="K121" s="506">
        <v>0</v>
      </c>
    </row>
    <row r="122" spans="1:11" x14ac:dyDescent="0.25">
      <c r="A122" s="499">
        <v>111</v>
      </c>
      <c r="B122" s="499">
        <v>110</v>
      </c>
      <c r="C122" s="71" t="s">
        <v>258</v>
      </c>
      <c r="D122" s="30" t="s">
        <v>259</v>
      </c>
      <c r="E122" s="506">
        <v>0</v>
      </c>
      <c r="F122" s="506">
        <v>0</v>
      </c>
      <c r="G122" s="506">
        <v>0</v>
      </c>
      <c r="H122" s="506">
        <v>0</v>
      </c>
      <c r="I122" s="506">
        <v>0</v>
      </c>
      <c r="J122" s="506">
        <v>0</v>
      </c>
      <c r="K122" s="506">
        <v>0</v>
      </c>
    </row>
    <row r="123" spans="1:11" x14ac:dyDescent="0.25">
      <c r="A123" s="499">
        <v>112</v>
      </c>
      <c r="B123" s="499">
        <v>111</v>
      </c>
      <c r="C123" s="511" t="s">
        <v>542</v>
      </c>
      <c r="D123" s="512" t="s">
        <v>543</v>
      </c>
      <c r="E123" s="506">
        <v>0</v>
      </c>
      <c r="F123" s="506">
        <v>0</v>
      </c>
      <c r="G123" s="506">
        <v>0</v>
      </c>
      <c r="H123" s="506">
        <v>0</v>
      </c>
      <c r="I123" s="506">
        <v>0</v>
      </c>
      <c r="J123" s="506">
        <v>0</v>
      </c>
      <c r="K123" s="506">
        <v>0</v>
      </c>
    </row>
    <row r="124" spans="1:11" x14ac:dyDescent="0.25">
      <c r="A124" s="499">
        <v>113</v>
      </c>
      <c r="B124" s="499">
        <v>112</v>
      </c>
      <c r="C124" s="71" t="s">
        <v>260</v>
      </c>
      <c r="D124" s="30" t="s">
        <v>261</v>
      </c>
      <c r="E124" s="506">
        <v>0</v>
      </c>
      <c r="F124" s="506">
        <v>0</v>
      </c>
      <c r="G124" s="506">
        <v>0</v>
      </c>
      <c r="H124" s="506">
        <v>0</v>
      </c>
      <c r="I124" s="506">
        <v>0</v>
      </c>
      <c r="J124" s="506">
        <v>0</v>
      </c>
      <c r="K124" s="506">
        <v>0</v>
      </c>
    </row>
    <row r="125" spans="1:11" x14ac:dyDescent="0.25">
      <c r="A125" s="499">
        <v>114</v>
      </c>
      <c r="B125" s="499">
        <v>113</v>
      </c>
      <c r="C125" s="69" t="s">
        <v>262</v>
      </c>
      <c r="D125" s="30" t="s">
        <v>263</v>
      </c>
      <c r="E125" s="506">
        <v>0</v>
      </c>
      <c r="F125" s="506">
        <v>0</v>
      </c>
      <c r="G125" s="506">
        <v>0</v>
      </c>
      <c r="H125" s="506">
        <v>0</v>
      </c>
      <c r="I125" s="506">
        <v>0</v>
      </c>
      <c r="J125" s="506">
        <v>0</v>
      </c>
      <c r="K125" s="506">
        <v>0</v>
      </c>
    </row>
    <row r="126" spans="1:11" x14ac:dyDescent="0.25">
      <c r="A126" s="499">
        <v>115</v>
      </c>
      <c r="B126" s="499">
        <v>114</v>
      </c>
      <c r="C126" s="69" t="s">
        <v>264</v>
      </c>
      <c r="D126" s="120" t="s">
        <v>265</v>
      </c>
      <c r="E126" s="506">
        <v>0</v>
      </c>
      <c r="F126" s="506">
        <v>0</v>
      </c>
      <c r="G126" s="506">
        <v>0</v>
      </c>
      <c r="H126" s="506">
        <v>0</v>
      </c>
      <c r="I126" s="506">
        <v>0</v>
      </c>
      <c r="J126" s="506">
        <v>0</v>
      </c>
      <c r="K126" s="506">
        <v>0</v>
      </c>
    </row>
    <row r="127" spans="1:11" x14ac:dyDescent="0.25">
      <c r="A127" s="499">
        <v>116</v>
      </c>
      <c r="B127" s="499">
        <v>115</v>
      </c>
      <c r="C127" s="69" t="s">
        <v>266</v>
      </c>
      <c r="D127" s="30" t="s">
        <v>267</v>
      </c>
      <c r="E127" s="506">
        <v>0</v>
      </c>
      <c r="F127" s="506">
        <v>0</v>
      </c>
      <c r="G127" s="506">
        <v>0</v>
      </c>
      <c r="H127" s="506">
        <v>0</v>
      </c>
      <c r="I127" s="506">
        <v>0</v>
      </c>
      <c r="J127" s="506">
        <v>0</v>
      </c>
      <c r="K127" s="506">
        <v>0</v>
      </c>
    </row>
    <row r="128" spans="1:11" x14ac:dyDescent="0.25">
      <c r="A128" s="499">
        <v>117</v>
      </c>
      <c r="B128" s="499">
        <v>116</v>
      </c>
      <c r="C128" s="69" t="s">
        <v>268</v>
      </c>
      <c r="D128" s="30" t="s">
        <v>269</v>
      </c>
      <c r="E128" s="506">
        <v>0</v>
      </c>
      <c r="F128" s="506">
        <v>0</v>
      </c>
      <c r="G128" s="506">
        <v>0</v>
      </c>
      <c r="H128" s="506">
        <v>0</v>
      </c>
      <c r="I128" s="506">
        <v>0</v>
      </c>
      <c r="J128" s="506">
        <v>0</v>
      </c>
      <c r="K128" s="506">
        <v>0</v>
      </c>
    </row>
    <row r="129" spans="1:11" x14ac:dyDescent="0.25">
      <c r="A129" s="499">
        <v>118</v>
      </c>
      <c r="B129" s="499">
        <v>117</v>
      </c>
      <c r="C129" s="69" t="s">
        <v>270</v>
      </c>
      <c r="D129" s="30" t="s">
        <v>271</v>
      </c>
      <c r="E129" s="506">
        <v>0</v>
      </c>
      <c r="F129" s="506">
        <v>0</v>
      </c>
      <c r="G129" s="506">
        <v>0</v>
      </c>
      <c r="H129" s="506">
        <v>0</v>
      </c>
      <c r="I129" s="506">
        <v>0</v>
      </c>
      <c r="J129" s="506">
        <v>0</v>
      </c>
      <c r="K129" s="506">
        <v>0</v>
      </c>
    </row>
    <row r="130" spans="1:11" x14ac:dyDescent="0.25">
      <c r="A130" s="499">
        <v>119</v>
      </c>
      <c r="B130" s="499">
        <v>118</v>
      </c>
      <c r="C130" s="70" t="s">
        <v>272</v>
      </c>
      <c r="D130" s="30" t="s">
        <v>273</v>
      </c>
      <c r="E130" s="506">
        <v>0</v>
      </c>
      <c r="F130" s="506">
        <v>0</v>
      </c>
      <c r="G130" s="506">
        <v>0</v>
      </c>
      <c r="H130" s="506">
        <v>0</v>
      </c>
      <c r="I130" s="506">
        <v>0</v>
      </c>
      <c r="J130" s="506">
        <v>0</v>
      </c>
      <c r="K130" s="506">
        <v>0</v>
      </c>
    </row>
    <row r="131" spans="1:11" x14ac:dyDescent="0.25">
      <c r="A131" s="499">
        <v>120</v>
      </c>
      <c r="B131" s="499">
        <v>119</v>
      </c>
      <c r="C131" s="70" t="s">
        <v>274</v>
      </c>
      <c r="D131" s="30" t="s">
        <v>275</v>
      </c>
      <c r="E131" s="506">
        <v>0</v>
      </c>
      <c r="F131" s="506">
        <v>0</v>
      </c>
      <c r="G131" s="506">
        <v>0</v>
      </c>
      <c r="H131" s="506">
        <v>0</v>
      </c>
      <c r="I131" s="506">
        <v>0</v>
      </c>
      <c r="J131" s="506">
        <v>0</v>
      </c>
      <c r="K131" s="506">
        <v>0</v>
      </c>
    </row>
    <row r="132" spans="1:11" x14ac:dyDescent="0.25">
      <c r="A132" s="499">
        <v>121</v>
      </c>
      <c r="B132" s="499">
        <v>120</v>
      </c>
      <c r="C132" s="70" t="s">
        <v>276</v>
      </c>
      <c r="D132" s="30" t="s">
        <v>277</v>
      </c>
      <c r="E132" s="506">
        <v>0</v>
      </c>
      <c r="F132" s="506">
        <v>0</v>
      </c>
      <c r="G132" s="506">
        <v>0</v>
      </c>
      <c r="H132" s="506">
        <v>0</v>
      </c>
      <c r="I132" s="506">
        <v>0</v>
      </c>
      <c r="J132" s="506">
        <v>0</v>
      </c>
      <c r="K132" s="506">
        <v>0</v>
      </c>
    </row>
    <row r="133" spans="1:11" x14ac:dyDescent="0.25">
      <c r="A133" s="499">
        <v>122</v>
      </c>
      <c r="B133" s="499">
        <v>121</v>
      </c>
      <c r="C133" s="69" t="s">
        <v>278</v>
      </c>
      <c r="D133" s="30" t="s">
        <v>279</v>
      </c>
      <c r="E133" s="506">
        <v>0</v>
      </c>
      <c r="F133" s="506">
        <v>0</v>
      </c>
      <c r="G133" s="506">
        <v>0</v>
      </c>
      <c r="H133" s="506">
        <v>0</v>
      </c>
      <c r="I133" s="506">
        <v>0</v>
      </c>
      <c r="J133" s="506">
        <v>0</v>
      </c>
      <c r="K133" s="506">
        <v>0</v>
      </c>
    </row>
    <row r="134" spans="1:11" x14ac:dyDescent="0.25">
      <c r="A134" s="499">
        <v>123</v>
      </c>
      <c r="B134" s="499">
        <v>122</v>
      </c>
      <c r="C134" s="69" t="s">
        <v>280</v>
      </c>
      <c r="D134" s="30" t="s">
        <v>281</v>
      </c>
      <c r="E134" s="506">
        <v>0</v>
      </c>
      <c r="F134" s="506">
        <v>0</v>
      </c>
      <c r="G134" s="506">
        <v>0</v>
      </c>
      <c r="H134" s="506">
        <v>0</v>
      </c>
      <c r="I134" s="506">
        <v>0</v>
      </c>
      <c r="J134" s="506">
        <v>0</v>
      </c>
      <c r="K134" s="506">
        <v>0</v>
      </c>
    </row>
    <row r="135" spans="1:11" x14ac:dyDescent="0.25">
      <c r="A135" s="499">
        <v>124</v>
      </c>
      <c r="B135" s="499">
        <v>123</v>
      </c>
      <c r="C135" s="69" t="s">
        <v>282</v>
      </c>
      <c r="D135" s="30" t="s">
        <v>768</v>
      </c>
      <c r="E135" s="506">
        <v>0</v>
      </c>
      <c r="F135" s="506">
        <v>0</v>
      </c>
      <c r="G135" s="506">
        <v>0</v>
      </c>
      <c r="H135" s="506">
        <v>0</v>
      </c>
      <c r="I135" s="506">
        <v>0</v>
      </c>
      <c r="J135" s="506">
        <v>0</v>
      </c>
      <c r="K135" s="506">
        <v>0</v>
      </c>
    </row>
    <row r="136" spans="1:11" x14ac:dyDescent="0.25">
      <c r="A136" s="499">
        <v>125</v>
      </c>
      <c r="B136" s="499">
        <v>124</v>
      </c>
      <c r="C136" s="70" t="s">
        <v>283</v>
      </c>
      <c r="D136" s="30" t="s">
        <v>284</v>
      </c>
      <c r="E136" s="506">
        <v>3844</v>
      </c>
      <c r="F136" s="506">
        <v>230</v>
      </c>
      <c r="G136" s="506">
        <v>230</v>
      </c>
      <c r="H136" s="506">
        <v>69</v>
      </c>
      <c r="I136" s="506">
        <v>23</v>
      </c>
      <c r="J136" s="506">
        <v>23</v>
      </c>
      <c r="K136" s="506">
        <v>23</v>
      </c>
    </row>
    <row r="137" spans="1:11" x14ac:dyDescent="0.25">
      <c r="A137" s="499">
        <v>126</v>
      </c>
      <c r="B137" s="499">
        <v>125</v>
      </c>
      <c r="C137" s="71" t="s">
        <v>285</v>
      </c>
      <c r="D137" s="30" t="s">
        <v>726</v>
      </c>
      <c r="E137" s="506">
        <v>4882</v>
      </c>
      <c r="F137" s="506">
        <v>4</v>
      </c>
      <c r="G137" s="506">
        <v>4</v>
      </c>
      <c r="H137" s="506">
        <v>0</v>
      </c>
      <c r="I137" s="506">
        <v>0</v>
      </c>
      <c r="J137" s="506">
        <v>0</v>
      </c>
      <c r="K137" s="506">
        <v>0</v>
      </c>
    </row>
    <row r="138" spans="1:11" x14ac:dyDescent="0.25">
      <c r="A138" s="499">
        <v>127</v>
      </c>
      <c r="B138" s="499">
        <v>126</v>
      </c>
      <c r="C138" s="69" t="s">
        <v>286</v>
      </c>
      <c r="D138" s="30" t="s">
        <v>287</v>
      </c>
      <c r="E138" s="506">
        <v>0</v>
      </c>
      <c r="F138" s="506">
        <v>0</v>
      </c>
      <c r="G138" s="506">
        <v>0</v>
      </c>
      <c r="H138" s="506">
        <v>0</v>
      </c>
      <c r="I138" s="506">
        <v>0</v>
      </c>
      <c r="J138" s="506">
        <v>0</v>
      </c>
      <c r="K138" s="506">
        <v>0</v>
      </c>
    </row>
    <row r="139" spans="1:11" x14ac:dyDescent="0.25">
      <c r="A139" s="499">
        <v>128</v>
      </c>
      <c r="B139" s="499">
        <v>127</v>
      </c>
      <c r="C139" s="70" t="s">
        <v>288</v>
      </c>
      <c r="D139" s="30" t="s">
        <v>289</v>
      </c>
      <c r="E139" s="506">
        <v>0</v>
      </c>
      <c r="F139" s="506">
        <v>0</v>
      </c>
      <c r="G139" s="506">
        <v>0</v>
      </c>
      <c r="H139" s="506">
        <v>0</v>
      </c>
      <c r="I139" s="506">
        <v>0</v>
      </c>
      <c r="J139" s="506">
        <v>0</v>
      </c>
      <c r="K139" s="506">
        <v>0</v>
      </c>
    </row>
    <row r="140" spans="1:11" x14ac:dyDescent="0.25">
      <c r="A140" s="499">
        <v>129</v>
      </c>
      <c r="B140" s="499">
        <v>128</v>
      </c>
      <c r="C140" s="69" t="s">
        <v>290</v>
      </c>
      <c r="D140" s="30" t="s">
        <v>291</v>
      </c>
      <c r="E140" s="506">
        <v>0</v>
      </c>
      <c r="F140" s="506">
        <v>0</v>
      </c>
      <c r="G140" s="506">
        <v>0</v>
      </c>
      <c r="H140" s="506">
        <v>0</v>
      </c>
      <c r="I140" s="506">
        <v>0</v>
      </c>
      <c r="J140" s="506">
        <v>0</v>
      </c>
      <c r="K140" s="506">
        <v>0</v>
      </c>
    </row>
    <row r="141" spans="1:11" x14ac:dyDescent="0.25">
      <c r="A141" s="499">
        <v>130</v>
      </c>
      <c r="B141" s="499">
        <v>129</v>
      </c>
      <c r="C141" s="138" t="s">
        <v>292</v>
      </c>
      <c r="D141" s="139" t="s">
        <v>293</v>
      </c>
      <c r="E141" s="506">
        <v>0</v>
      </c>
      <c r="F141" s="506">
        <v>0</v>
      </c>
      <c r="G141" s="506">
        <v>0</v>
      </c>
      <c r="H141" s="506">
        <v>0</v>
      </c>
      <c r="I141" s="506">
        <v>0</v>
      </c>
      <c r="J141" s="506">
        <v>0</v>
      </c>
      <c r="K141" s="506">
        <v>0</v>
      </c>
    </row>
    <row r="142" spans="1:11" x14ac:dyDescent="0.25">
      <c r="A142" s="499">
        <v>131</v>
      </c>
      <c r="B142" s="499">
        <v>130</v>
      </c>
      <c r="C142" s="140" t="s">
        <v>294</v>
      </c>
      <c r="D142" s="141" t="s">
        <v>295</v>
      </c>
      <c r="E142" s="506">
        <v>0</v>
      </c>
      <c r="F142" s="506">
        <v>0</v>
      </c>
      <c r="G142" s="506">
        <v>0</v>
      </c>
      <c r="H142" s="506">
        <v>0</v>
      </c>
      <c r="I142" s="506">
        <v>0</v>
      </c>
      <c r="J142" s="506">
        <v>0</v>
      </c>
      <c r="K142" s="506">
        <v>0</v>
      </c>
    </row>
    <row r="143" spans="1:11" x14ac:dyDescent="0.25">
      <c r="A143" s="499">
        <v>132</v>
      </c>
      <c r="B143" s="499">
        <v>131</v>
      </c>
      <c r="C143" s="138" t="s">
        <v>296</v>
      </c>
      <c r="D143" s="72" t="s">
        <v>323</v>
      </c>
      <c r="E143" s="506">
        <v>0</v>
      </c>
      <c r="F143" s="506">
        <v>0</v>
      </c>
      <c r="G143" s="506">
        <v>0</v>
      </c>
      <c r="H143" s="506">
        <v>0</v>
      </c>
      <c r="I143" s="506">
        <v>0</v>
      </c>
      <c r="J143" s="506">
        <v>0</v>
      </c>
      <c r="K143" s="506">
        <v>0</v>
      </c>
    </row>
    <row r="144" spans="1:11" x14ac:dyDescent="0.25">
      <c r="A144" s="499">
        <v>133</v>
      </c>
      <c r="B144" s="499">
        <v>132</v>
      </c>
      <c r="C144" s="499" t="s">
        <v>298</v>
      </c>
      <c r="D144" s="142" t="s">
        <v>299</v>
      </c>
      <c r="E144" s="506">
        <v>0</v>
      </c>
      <c r="F144" s="506">
        <v>0</v>
      </c>
      <c r="G144" s="506">
        <v>0</v>
      </c>
      <c r="H144" s="506">
        <v>0</v>
      </c>
      <c r="I144" s="506">
        <v>0</v>
      </c>
      <c r="J144" s="506">
        <v>0</v>
      </c>
      <c r="K144" s="506">
        <v>0</v>
      </c>
    </row>
    <row r="145" spans="1:11" x14ac:dyDescent="0.25">
      <c r="A145" s="499">
        <v>134</v>
      </c>
      <c r="B145" s="499">
        <v>133</v>
      </c>
      <c r="C145" s="73" t="s">
        <v>300</v>
      </c>
      <c r="D145" s="142" t="s">
        <v>301</v>
      </c>
      <c r="E145" s="506">
        <v>0</v>
      </c>
      <c r="F145" s="506">
        <v>0</v>
      </c>
      <c r="G145" s="506">
        <v>0</v>
      </c>
      <c r="H145" s="506">
        <v>0</v>
      </c>
      <c r="I145" s="506">
        <v>0</v>
      </c>
      <c r="J145" s="506">
        <v>0</v>
      </c>
      <c r="K145" s="506">
        <v>0</v>
      </c>
    </row>
    <row r="146" spans="1:11" x14ac:dyDescent="0.25">
      <c r="A146" s="499">
        <v>135</v>
      </c>
      <c r="B146" s="499">
        <v>134</v>
      </c>
      <c r="C146" s="513" t="s">
        <v>302</v>
      </c>
      <c r="D146" s="514" t="s">
        <v>303</v>
      </c>
      <c r="E146" s="506">
        <v>0</v>
      </c>
      <c r="F146" s="506">
        <v>0</v>
      </c>
      <c r="G146" s="506">
        <v>0</v>
      </c>
      <c r="H146" s="506">
        <v>0</v>
      </c>
      <c r="I146" s="506">
        <v>0</v>
      </c>
      <c r="J146" s="506">
        <v>0</v>
      </c>
      <c r="K146" s="506">
        <v>0</v>
      </c>
    </row>
    <row r="147" spans="1:11" x14ac:dyDescent="0.25">
      <c r="A147" s="515"/>
      <c r="B147" s="499">
        <v>135</v>
      </c>
      <c r="C147" s="129" t="s">
        <v>304</v>
      </c>
      <c r="D147" s="117" t="s">
        <v>305</v>
      </c>
      <c r="E147" s="506">
        <v>0</v>
      </c>
      <c r="F147" s="506">
        <v>0</v>
      </c>
      <c r="G147" s="506">
        <v>0</v>
      </c>
      <c r="H147" s="506">
        <v>0</v>
      </c>
      <c r="I147" s="506">
        <v>0</v>
      </c>
      <c r="J147" s="506">
        <v>0</v>
      </c>
      <c r="K147" s="506">
        <v>0</v>
      </c>
    </row>
    <row r="148" spans="1:11" ht="57.75" customHeight="1" x14ac:dyDescent="0.25">
      <c r="A148" s="943" t="s">
        <v>324</v>
      </c>
      <c r="B148" s="943"/>
      <c r="C148" s="943"/>
      <c r="D148" s="943"/>
      <c r="E148" s="943"/>
      <c r="F148" s="943"/>
      <c r="G148" s="943"/>
      <c r="H148" s="943"/>
      <c r="I148" s="943"/>
      <c r="J148" s="943"/>
      <c r="K148" s="943"/>
    </row>
    <row r="149" spans="1:11" x14ac:dyDescent="0.25">
      <c r="A149" s="500"/>
      <c r="B149" s="500"/>
      <c r="C149" s="500"/>
      <c r="D149" s="516"/>
      <c r="E149" s="516"/>
      <c r="F149" s="516"/>
      <c r="G149" s="516"/>
      <c r="H149" s="516"/>
      <c r="I149" s="516"/>
      <c r="J149" s="516"/>
      <c r="K149" s="516"/>
    </row>
    <row r="152" spans="1:11" x14ac:dyDescent="0.25">
      <c r="E152" s="517"/>
      <c r="F152" s="517"/>
      <c r="G152" s="517"/>
      <c r="H152" s="517"/>
      <c r="I152" s="517"/>
      <c r="J152" s="517"/>
      <c r="K152" s="517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(Пр.9-26)</vt:lpstr>
      <vt:lpstr>ВМП КС (Пр.9-26)</vt:lpstr>
      <vt:lpstr>ВМП ДС (Пр.16-25)</vt:lpstr>
      <vt:lpstr>ДС (9-26)</vt:lpstr>
      <vt:lpstr>СМП (9-26)</vt:lpstr>
      <vt:lpstr>Обращения 8-26</vt:lpstr>
      <vt:lpstr>МР в АПУ 2026 объемы 9-26 </vt:lpstr>
      <vt:lpstr>Проф.Свод (Пр.9-26)   </vt:lpstr>
      <vt:lpstr>Углуб.дисп.1 и 2 эт.(Пр.1-26)</vt:lpstr>
      <vt:lpstr>ДОРЗ 1 и 2 этап (Пр.16-25)</vt:lpstr>
      <vt:lpstr>Пос. по дисп.набл. (Пр.8-26) </vt:lpstr>
      <vt:lpstr>Раз.пос.(Пр.9-26) </vt:lpstr>
      <vt:lpstr>Пос. ср.мед.пер. (Пр.9-26)  </vt:lpstr>
      <vt:lpstr>Пос с др.целями(Пр.9-26)  </vt:lpstr>
      <vt:lpstr>Центры здор.взросл Пр.9-26 </vt:lpstr>
      <vt:lpstr>Компл.посещ. ДН (9-26)</vt:lpstr>
      <vt:lpstr>Дистанц. набл.(3-26)</vt:lpstr>
      <vt:lpstr>КТ, МРТ, КТПЭТ, ОФЭКТ(9-26)</vt:lpstr>
      <vt:lpstr>УЗИ ССС(8-26)</vt:lpstr>
      <vt:lpstr>ЭИ, ПАИ, МГИ(9-26)</vt:lpstr>
      <vt:lpstr>НИПТ, РНК геп С, Лаб.геп (8-26)</vt:lpstr>
      <vt:lpstr>ШХНИЗ, ШСД, ШБ (9-26)</vt:lpstr>
      <vt:lpstr>АПУ неотл.пом. (9-26)</vt:lpstr>
      <vt:lpstr>гемодиализ (9-26)</vt:lpstr>
      <vt:lpstr>Долечивание, кибер-нож (16-25)</vt:lpstr>
      <vt:lpstr>Венерология (16-25)</vt:lpstr>
      <vt:lpstr>Паллиатив. МП (8-26)</vt:lpstr>
      <vt:lpstr>Наркология (1-26)</vt:lpstr>
      <vt:lpstr>Психотерапия (16-25)</vt:lpstr>
      <vt:lpstr>Фтизиатрия (16-25)</vt:lpstr>
      <vt:lpstr>'АПУ неотл.пом. (9-26)'!Заголовки_для_печати</vt:lpstr>
      <vt:lpstr>'ВМП КС (Пр.9-26)'!Заголовки_для_печати</vt:lpstr>
      <vt:lpstr>'Дистанц. набл.(3-26)'!Заголовки_для_печати</vt:lpstr>
      <vt:lpstr>'КТ, МРТ, КТПЭТ, ОФЭКТ(9-26)'!Заголовки_для_печати</vt:lpstr>
      <vt:lpstr>'НИПТ, РНК геп С, Лаб.геп (8-26)'!Заголовки_для_печати</vt:lpstr>
      <vt:lpstr>'Обращения 8-26'!Заголовки_для_печати</vt:lpstr>
      <vt:lpstr>'Объемы КС (Пр.9-26)'!Заголовки_для_печати</vt:lpstr>
      <vt:lpstr>'Пос с др.целями(Пр.9-26)  '!Заголовки_для_печати</vt:lpstr>
      <vt:lpstr>'Пос. по дисп.набл. (Пр.8-26) '!Заголовки_для_печати</vt:lpstr>
      <vt:lpstr>'Пос. ср.мед.пер. (Пр.9-26)  '!Заголовки_для_печати</vt:lpstr>
      <vt:lpstr>'Проф.Свод (Пр.9-26)   '!Заголовки_для_печати</vt:lpstr>
      <vt:lpstr>'Раз.пос.(Пр.9-26) '!Заголовки_для_печати</vt:lpstr>
      <vt:lpstr>'СМП (9-26)'!Заголовки_для_печати</vt:lpstr>
      <vt:lpstr>'Углуб.дисп.1 и 2 эт.(Пр.1-26)'!Заголовки_для_печати</vt:lpstr>
      <vt:lpstr>'УЗИ ССС(8-26)'!Заголовки_для_печати</vt:lpstr>
      <vt:lpstr>'Центры здор.взросл Пр.9-26 '!Заголовки_для_печати</vt:lpstr>
      <vt:lpstr>'ШХНИЗ, ШСД, ШБ (9-26)'!Заголовки_для_печати</vt:lpstr>
      <vt:lpstr>'ЭИ, ПАИ, МГИ(9-26)'!Заголовки_для_печати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Елена Д. Галкова</cp:lastModifiedBy>
  <cp:lastPrinted>2026-07-24T05:42:57Z</cp:lastPrinted>
  <dcterms:created xsi:type="dcterms:W3CDTF">2025-10-22T09:33:22Z</dcterms:created>
  <dcterms:modified xsi:type="dcterms:W3CDTF">2026-08-06T05:02:56Z</dcterms:modified>
</cp:coreProperties>
</file>